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5udosz7dpw64ViimbGsfHsaNaNGmVXNeUqNeblopx54qtfr41s6Chcw1EHejWS+nrsx3cnpwgprwxlKKdWITQw==" workbookSaltValue="Ied79bj/Mji9nv7gTMGj1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BF17" i="8" l="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BF23" i="13" l="1"/>
  <c r="I9" i="12"/>
  <c r="K9" i="12"/>
  <c r="BL9" i="11"/>
  <c r="BH21" i="16"/>
  <c r="BF11" i="11"/>
  <c r="X12" i="21"/>
  <c r="T28" i="11"/>
  <c r="T19" i="11"/>
  <c r="R28" i="14"/>
  <c r="R18" i="14"/>
  <c r="S28" i="14"/>
  <c r="V28" i="14" s="1"/>
  <c r="S21" i="14"/>
  <c r="V21" i="14" s="1"/>
  <c r="AP17" i="20"/>
  <c r="BL19" i="11"/>
  <c r="BJ22" i="11"/>
  <c r="BJ18" i="11"/>
  <c r="BG10"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M17" i="11"/>
  <c r="BF21" i="11"/>
  <c r="BF17" i="11"/>
  <c r="BL12" i="11"/>
  <c r="BK21" i="11"/>
  <c r="BI25" i="1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0" i="21"/>
  <c r="X13" i="16"/>
  <c r="V11" i="16"/>
  <c r="V25" i="11"/>
  <c r="BF10" i="11"/>
  <c r="V11" i="11"/>
  <c r="BM12" i="11"/>
  <c r="V9" i="11"/>
  <c r="BJ16" i="11"/>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L20" i="2"/>
  <c r="U9" i="17"/>
  <c r="U31" i="17" s="1"/>
  <c r="V10" i="16"/>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U14" i="17" l="1"/>
  <c r="AQ17" i="11"/>
  <c r="P25" i="11"/>
  <c r="P12" i="1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<sst xmlns="http://schemas.openxmlformats.org/spreadsheetml/2006/main" count="2682" uniqueCount="1193">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</sst>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hDMtPS8cjMQmB/AL0LHaCM/quBOCDKnTfw+DUlNS5Qcgwtp3wE1WYMo3NDClNrV+stDXugg4jrBFMwyod+TPw==" saltValue="OJGNNFru6JjANd4gqYVc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44</v>
      </c>
      <c r="F10" s="240">
        <f>IF(ISNUMBER(Datos!K10),Datos!K10," - ")</f>
        <v>38</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4.3421052631578947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16.342465753424658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44</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895</v>
      </c>
      <c r="D17" s="239">
        <f>IF(ISNUMBER(IF(D_I="SI",Datos!I17,Datos!I17+Datos!AC17)),IF(D_I="SI",Datos!I17,Datos!I17+Datos!AC17)," - ")</f>
        <v>895</v>
      </c>
      <c r="E17" s="240">
        <f>IF(ISNUMBER(IF(D_I="SI",Datos!J17,Datos!J17+Datos!AD17)),IF(D_I="SI",Datos!J17,Datos!J17+Datos!AD17)," - ")</f>
        <v>2948</v>
      </c>
      <c r="F17" s="240">
        <f>IF(ISNUMBER(IF(D_I="SI",Datos!K17,Datos!K17+Datos!AE17)),IF(D_I="SI",Datos!K17,Datos!K17+Datos!AE17)," - ")</f>
        <v>2516</v>
      </c>
      <c r="G17" s="1390" t="str">
        <f>IF(Datos!E17&lt;&gt;"",Datos!E17,Datos!D17)</f>
        <v>04</v>
      </c>
      <c r="H17" s="241">
        <f>IF(ISNUMBER(IF(D_I="SI",Datos!L17,Datos!L17+Datos!AF17)),IF(D_I="SI",Datos!L17,Datos!L17+Datos!AF17)," - ")</f>
        <v>1327</v>
      </c>
      <c r="I17" s="1400" t="str">
        <f>IF(ISNUMBER(Datos!AS17/Datos!BM17),Datos!AS17/Datos!BM17," - ")</f>
        <v xml:space="preserve"> - </v>
      </c>
      <c r="J17" s="1401">
        <f>IF(ISNUMBER(Datos!BY17/Datos!CN17),Datos!BY17/Datos!CN17," - ")</f>
        <v>0</v>
      </c>
      <c r="K17" s="244">
        <f t="shared" si="3"/>
        <v>0.48268156424581005</v>
      </c>
      <c r="L17" s="1402">
        <f>IF(ISNUMBER(NºAsuntos!I17/NºAsuntos!G17),(NºAsuntos!I17/NºAsuntos!G17)*11," - ")</f>
        <v>5.8016693163751984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59</v>
      </c>
      <c r="E18" s="240">
        <f>IF(ISNUMBER(IF(D_I="SI",Datos!J18,Datos!J18+Datos!AD18)),IF(D_I="SI",Datos!J18,Datos!J18+Datos!AD18)," - ")</f>
        <v>453</v>
      </c>
      <c r="F18" s="240">
        <f>IF(ISNUMBER(IF(D_I="SI",Datos!K18,Datos!K18+Datos!AE18)),IF(D_I="SI",Datos!K18,Datos!K18+Datos!AE18)," - ")</f>
        <v>475</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-0.3728813559322034</v>
      </c>
      <c r="L18" s="1402">
        <f>IF(ISNUMBER(NºAsuntos!I18/NºAsuntos!G18),(NºAsuntos!I18/NºAsuntos!G18)*11," - ")</f>
        <v>0.85684210526315796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954</v>
      </c>
      <c r="D23" s="1407">
        <f>SUBTOTAL(9,D16:D22)</f>
        <v>954</v>
      </c>
      <c r="E23" s="1408">
        <f>SUBTOTAL(9,E16:E22)</f>
        <v>3401</v>
      </c>
      <c r="F23" s="1408">
        <f>SUBTOTAL(9,F16:F22)</f>
        <v>2991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963</v>
      </c>
      <c r="D31" s="1435">
        <f>SUBTOTAL(9,D9:D30)</f>
        <v>963</v>
      </c>
      <c r="E31" s="1436">
        <f>SUBTOTAL(9,E9:E30)</f>
        <v>3445</v>
      </c>
      <c r="F31" s="1436">
        <f>SUBTOTAL(9,F9:F30)</f>
        <v>3029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WjyurcNZZQLyYhSpJMTmeSVEAftgCjBE2ql2Ze3mmnHCl59ycTanRlKTgsGpvREQOhVQ5duY1jjD87dp+V20Q==" saltValue="vip0s7Z88n65pCF7/PKR7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e367myq0jNHkWO+boai3h+jAH/ujyhJv+MA7Erdg5mV0XlHoSnMmwn1A1jmY/yQAJpOuHgoVfXefyk9wX/zEg==" saltValue="1PcWTn2eMCOHWF+dXzs5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44</v>
      </c>
      <c r="K10" s="194">
        <v>38</v>
      </c>
      <c r="L10" s="194">
        <v>15</v>
      </c>
      <c r="M10" s="194">
        <v>8</v>
      </c>
      <c r="N10" s="194">
        <v>9</v>
      </c>
      <c r="O10" s="194">
        <v>2</v>
      </c>
      <c r="P10" s="194">
        <v>9</v>
      </c>
      <c r="Q10" s="194">
        <v>6</v>
      </c>
      <c r="R10" s="194">
        <v>5</v>
      </c>
      <c r="S10" s="194">
        <v>10</v>
      </c>
      <c r="T10" s="194">
        <v>41</v>
      </c>
      <c r="U10" s="194">
        <v>42</v>
      </c>
      <c r="V10" s="194">
        <v>9</v>
      </c>
      <c r="W10" s="194">
        <v>19</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41</v>
      </c>
      <c r="BA10" s="139">
        <f t="shared" si="0"/>
        <v>42</v>
      </c>
      <c r="BB10" s="139">
        <f t="shared" si="0"/>
        <v>9</v>
      </c>
      <c r="BC10" s="135">
        <f t="shared" si="0"/>
        <v>19</v>
      </c>
      <c r="BD10" s="136">
        <f>IF(ISNUMBER(BA10/AZ10),BA10/AZ10," - ")</f>
        <v>1.024390243902439</v>
      </c>
      <c r="BE10" s="137">
        <f>IF(ISNUMBER(BB10/BA10),BB10/BA10, " - ")</f>
        <v>0.21428571428571427</v>
      </c>
      <c r="BF10" s="137">
        <f>IF(ISNUMBER(BC10/BA10),BC10/BA10, " - ")</f>
        <v>0.45238095238095238</v>
      </c>
      <c r="BG10" s="209">
        <f>IF(ISNUMBER((AY10+AZ10)/BA10),(AY10+AZ10)/BA10," - ")</f>
        <v>1.2142857142857142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1970</v>
      </c>
      <c r="J12" s="196">
        <v>1885</v>
      </c>
      <c r="K12" s="196">
        <v>1523</v>
      </c>
      <c r="L12" s="196">
        <v>2332</v>
      </c>
      <c r="M12" s="196">
        <v>325</v>
      </c>
      <c r="N12" s="196">
        <v>781</v>
      </c>
      <c r="O12" s="194">
        <v>690</v>
      </c>
      <c r="P12" s="196">
        <v>328</v>
      </c>
      <c r="Q12" s="196">
        <v>292</v>
      </c>
      <c r="R12" s="196">
        <v>2125</v>
      </c>
      <c r="S12" s="196">
        <v>1501</v>
      </c>
      <c r="T12" s="196">
        <v>1649</v>
      </c>
      <c r="U12" s="196">
        <v>1526</v>
      </c>
      <c r="V12" s="196">
        <v>1970</v>
      </c>
      <c r="W12" s="196">
        <v>338</v>
      </c>
      <c r="X12" s="202">
        <v>587</v>
      </c>
      <c r="Y12" s="204">
        <v>41</v>
      </c>
      <c r="Z12" s="194">
        <v>96</v>
      </c>
      <c r="AA12" s="194">
        <v>83</v>
      </c>
      <c r="AB12" s="194">
        <v>54</v>
      </c>
      <c r="AC12" s="196">
        <v>0</v>
      </c>
      <c r="AD12" s="196">
        <v>0</v>
      </c>
      <c r="AE12" s="196">
        <v>0</v>
      </c>
      <c r="AF12" s="202">
        <v>0</v>
      </c>
      <c r="AG12" s="215">
        <v>44</v>
      </c>
      <c r="AH12" s="196">
        <v>95</v>
      </c>
      <c r="AI12" s="196">
        <v>103</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1545</v>
      </c>
      <c r="AZ12" s="137">
        <f t="shared" si="1"/>
        <v>1744</v>
      </c>
      <c r="BA12" s="137">
        <f t="shared" si="1"/>
        <v>1629</v>
      </c>
      <c r="BB12" s="137">
        <f t="shared" si="1"/>
        <v>2011</v>
      </c>
      <c r="BC12" s="135">
        <f>IF(ISNUMBER(X12),X12," - ")</f>
        <v>587</v>
      </c>
      <c r="BD12" s="136">
        <f t="shared" si="2"/>
        <v>0.93405963302752293</v>
      </c>
      <c r="BE12" s="137">
        <f t="shared" si="3"/>
        <v>1.234499693063229</v>
      </c>
      <c r="BF12" s="137">
        <f t="shared" si="4"/>
        <v>0.36034376918354821</v>
      </c>
      <c r="BG12" s="209">
        <f t="shared" si="5"/>
        <v>2.0190300798035605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1979</v>
      </c>
      <c r="J14" s="197">
        <f t="shared" si="7"/>
        <v>1929</v>
      </c>
      <c r="K14" s="197">
        <f t="shared" si="7"/>
        <v>1561</v>
      </c>
      <c r="L14" s="197">
        <f t="shared" si="7"/>
        <v>2347</v>
      </c>
      <c r="M14" s="197">
        <f t="shared" si="7"/>
        <v>333</v>
      </c>
      <c r="N14" s="197">
        <f t="shared" si="7"/>
        <v>790</v>
      </c>
      <c r="O14" s="197">
        <f t="shared" si="7"/>
        <v>692</v>
      </c>
      <c r="P14" s="197">
        <f t="shared" si="7"/>
        <v>337</v>
      </c>
      <c r="Q14" s="197">
        <f t="shared" si="7"/>
        <v>298</v>
      </c>
      <c r="R14" s="197">
        <f t="shared" si="7"/>
        <v>2130</v>
      </c>
      <c r="S14" s="197">
        <f t="shared" si="7"/>
        <v>1511</v>
      </c>
      <c r="T14" s="197">
        <f t="shared" si="7"/>
        <v>1690</v>
      </c>
      <c r="U14" s="197">
        <f t="shared" si="7"/>
        <v>1568</v>
      </c>
      <c r="V14" s="197">
        <f t="shared" si="7"/>
        <v>1979</v>
      </c>
      <c r="W14" s="197">
        <f t="shared" si="7"/>
        <v>357</v>
      </c>
      <c r="X14" s="197">
        <f t="shared" si="7"/>
        <v>603</v>
      </c>
      <c r="Y14" s="197">
        <f t="shared" si="7"/>
        <v>41</v>
      </c>
      <c r="Z14" s="197">
        <f t="shared" si="7"/>
        <v>96</v>
      </c>
      <c r="AA14" s="197">
        <f t="shared" si="7"/>
        <v>83</v>
      </c>
      <c r="AB14" s="197">
        <f t="shared" si="7"/>
        <v>54</v>
      </c>
      <c r="AC14" s="197">
        <f t="shared" si="7"/>
        <v>0</v>
      </c>
      <c r="AD14" s="197">
        <f t="shared" si="7"/>
        <v>0</v>
      </c>
      <c r="AE14" s="197">
        <f t="shared" si="7"/>
        <v>0</v>
      </c>
      <c r="AF14" s="197">
        <f>SUBTOTAL(9,AF9:AF13)</f>
        <v>0</v>
      </c>
      <c r="AG14" s="197">
        <f t="shared" ref="AG14:AT14" si="8">SUBTOTAL(9,AG8:AG13)</f>
        <v>44</v>
      </c>
      <c r="AH14" s="197">
        <f t="shared" si="8"/>
        <v>95</v>
      </c>
      <c r="AI14" s="197">
        <f t="shared" si="8"/>
        <v>103</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1555</v>
      </c>
      <c r="AZ14" s="197">
        <f>SUBTOTAL(9,AZ8:AZ13)</f>
        <v>1785</v>
      </c>
      <c r="BA14" s="197">
        <f>SUBTOTAL(9,BA8:BA13)</f>
        <v>1671</v>
      </c>
      <c r="BB14" s="197">
        <f>SUBTOTAL(9,BB8:BB13)</f>
        <v>2020</v>
      </c>
      <c r="BC14" s="197">
        <f>SUBTOTAL(9,BC8:BC13)</f>
        <v>606</v>
      </c>
      <c r="BD14" s="219">
        <f>IF(ISNUMBER(BA14/AZ14),BA14/AZ14," - ")</f>
        <v>0.93613445378151261</v>
      </c>
      <c r="BE14" s="220">
        <f>IF(ISNUMBER(BB14/BA14),BB14/BA14, " - ")</f>
        <v>1.2088569718731299</v>
      </c>
      <c r="BF14" s="220">
        <f>IF(ISNUMBER(BC14/BA14),BC14/BA14, " - ")</f>
        <v>0.36265709156193898</v>
      </c>
      <c r="BG14" s="221">
        <f>IF(ISNUMBER((AY14+AZ14)/BA14),(AY14+AZ14)/BA14," - ")</f>
        <v>1.9988031119090366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895</v>
      </c>
      <c r="J17" s="196">
        <v>2948</v>
      </c>
      <c r="K17" s="196">
        <v>2516</v>
      </c>
      <c r="L17" s="196">
        <v>1327</v>
      </c>
      <c r="M17" s="196">
        <v>454</v>
      </c>
      <c r="N17" s="196">
        <v>1680</v>
      </c>
      <c r="O17" s="194">
        <v>0</v>
      </c>
      <c r="P17" s="196">
        <v>68</v>
      </c>
      <c r="Q17" s="196">
        <v>69</v>
      </c>
      <c r="R17" s="196">
        <v>87</v>
      </c>
      <c r="S17" s="196">
        <v>537</v>
      </c>
      <c r="T17" s="196">
        <v>2756</v>
      </c>
      <c r="U17" s="196">
        <v>1645</v>
      </c>
      <c r="V17" s="196">
        <v>895</v>
      </c>
      <c r="W17" s="196">
        <v>478</v>
      </c>
      <c r="X17" s="202">
        <v>764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537</v>
      </c>
      <c r="AZ17" s="137">
        <f t="shared" si="10"/>
        <v>2756</v>
      </c>
      <c r="BA17" s="137">
        <f t="shared" si="10"/>
        <v>1645</v>
      </c>
      <c r="BB17" s="137">
        <f t="shared" si="10"/>
        <v>895</v>
      </c>
      <c r="BC17" s="135">
        <f>IF(ISNUMBER(W17),W17," - ")</f>
        <v>478</v>
      </c>
      <c r="BD17" s="136">
        <f t="shared" ref="BD17:BD22" si="12">IF(ISNUMBER(BA17/AZ17),BA17/AZ17," - ")</f>
        <v>0.59687953555878082</v>
      </c>
      <c r="BE17" s="137">
        <f t="shared" ref="BE17:BE22" si="13">IF(ISNUMBER(BB17/BA17),BB17/BA17, " - ")</f>
        <v>0.54407294832826747</v>
      </c>
      <c r="BF17" s="137">
        <f t="shared" ref="BF17:BF22" si="14">IF(ISNUMBER(BC17/BA17),BC17/BA17, " - ")</f>
        <v>0.2905775075987842</v>
      </c>
      <c r="BG17" s="209">
        <f t="shared" si="11"/>
        <v>2.001823708206687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453</v>
      </c>
      <c r="K18" s="196">
        <v>475</v>
      </c>
      <c r="L18" s="196">
        <v>37</v>
      </c>
      <c r="M18" s="196">
        <v>76</v>
      </c>
      <c r="N18" s="196">
        <v>324</v>
      </c>
      <c r="O18" s="196">
        <v>0</v>
      </c>
      <c r="P18" s="196">
        <v>3</v>
      </c>
      <c r="Q18" s="196">
        <v>3</v>
      </c>
      <c r="R18" s="196">
        <v>2</v>
      </c>
      <c r="S18" s="196">
        <v>53</v>
      </c>
      <c r="T18" s="196">
        <v>415</v>
      </c>
      <c r="U18" s="196">
        <v>407</v>
      </c>
      <c r="V18" s="196">
        <v>59</v>
      </c>
      <c r="W18" s="196">
        <v>76</v>
      </c>
      <c r="X18" s="202">
        <v>252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53</v>
      </c>
      <c r="AZ18" s="139">
        <f t="shared" si="15"/>
        <v>415</v>
      </c>
      <c r="BA18" s="139">
        <f t="shared" si="15"/>
        <v>407</v>
      </c>
      <c r="BB18" s="139">
        <f t="shared" si="15"/>
        <v>59</v>
      </c>
      <c r="BC18" s="135">
        <f>IF(ISNUMBER(W18),W18," - ")</f>
        <v>76</v>
      </c>
      <c r="BD18" s="136">
        <f>IF(ISNUMBER(BA18/AZ18),BA18/AZ18," - ")</f>
        <v>0.98072289156626502</v>
      </c>
      <c r="BE18" s="137">
        <f>IF(ISNUMBER(BB18/BA18),BB18/BA18, " - ")</f>
        <v>0.14496314496314497</v>
      </c>
      <c r="BF18" s="137">
        <f>IF(ISNUMBER(BC18/BA18),BC18/BA18, " - ")</f>
        <v>0.18673218673218672</v>
      </c>
      <c r="BG18" s="209">
        <f>IF(ISNUMBER((AY18+AZ18)/BA18),(AY18+AZ18)/BA18," - ")</f>
        <v>1.1498771498771498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954</v>
      </c>
      <c r="J23" s="197">
        <f t="shared" si="21"/>
        <v>3401</v>
      </c>
      <c r="K23" s="197">
        <f t="shared" si="21"/>
        <v>2991</v>
      </c>
      <c r="L23" s="197">
        <f t="shared" si="21"/>
        <v>1364</v>
      </c>
      <c r="M23" s="197">
        <f t="shared" si="21"/>
        <v>530</v>
      </c>
      <c r="N23" s="197">
        <f t="shared" si="21"/>
        <v>2004</v>
      </c>
      <c r="O23" s="197">
        <f t="shared" si="21"/>
        <v>0</v>
      </c>
      <c r="P23" s="197">
        <f t="shared" si="21"/>
        <v>71</v>
      </c>
      <c r="Q23" s="197">
        <f t="shared" si="21"/>
        <v>72</v>
      </c>
      <c r="R23" s="197">
        <f t="shared" si="21"/>
        <v>89</v>
      </c>
      <c r="S23" s="197">
        <f t="shared" si="21"/>
        <v>590</v>
      </c>
      <c r="T23" s="197">
        <f t="shared" si="21"/>
        <v>3171</v>
      </c>
      <c r="U23" s="197">
        <f t="shared" si="21"/>
        <v>2052</v>
      </c>
      <c r="V23" s="197">
        <f t="shared" si="21"/>
        <v>954</v>
      </c>
      <c r="W23" s="197">
        <f t="shared" si="21"/>
        <v>554</v>
      </c>
      <c r="X23" s="197">
        <f t="shared" si="21"/>
        <v>1016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590</v>
      </c>
      <c r="AZ23" s="197">
        <f>SUBTOTAL(9,AZ15:AZ22)</f>
        <v>3171</v>
      </c>
      <c r="BA23" s="197">
        <f>SUBTOTAL(9,BA15:BA22)</f>
        <v>2052</v>
      </c>
      <c r="BB23" s="197">
        <f>SUBTOTAL(9,BB15:BB22)</f>
        <v>954</v>
      </c>
      <c r="BC23" s="197">
        <f>SUBTOTAL(9,BC15:BC22)</f>
        <v>554</v>
      </c>
      <c r="BD23" s="219">
        <f>IF(ISNUMBER(BA23/AZ23),BA23/AZ23," - ")</f>
        <v>0.6471144749290445</v>
      </c>
      <c r="BE23" s="220">
        <f>IF(ISNUMBER(BB23/BA23),BB23/BA23, " - ")</f>
        <v>0.46491228070175439</v>
      </c>
      <c r="BF23" s="220">
        <f>IF(ISNUMBER(BC23/BA23),BC23/BA23, " - ")</f>
        <v>0.2699805068226121</v>
      </c>
      <c r="BG23" s="221">
        <f>IF(ISNUMBER((AY23+AZ23)/BA23),(AY23+AZ23)/BA23," - ")</f>
        <v>1.8328460038986354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2933</v>
      </c>
      <c r="J31" s="144">
        <f t="shared" si="36"/>
        <v>5330</v>
      </c>
      <c r="K31" s="144">
        <f t="shared" si="36"/>
        <v>4552</v>
      </c>
      <c r="L31" s="144">
        <f t="shared" si="36"/>
        <v>3711</v>
      </c>
      <c r="M31" s="144">
        <f t="shared" si="36"/>
        <v>863</v>
      </c>
      <c r="N31" s="144">
        <f t="shared" si="36"/>
        <v>2794</v>
      </c>
      <c r="O31" s="144">
        <f t="shared" si="36"/>
        <v>692</v>
      </c>
      <c r="P31" s="144">
        <f t="shared" si="36"/>
        <v>408</v>
      </c>
      <c r="Q31" s="144">
        <f t="shared" si="36"/>
        <v>370</v>
      </c>
      <c r="R31" s="144">
        <f t="shared" si="36"/>
        <v>2219</v>
      </c>
      <c r="S31" s="144">
        <f t="shared" si="36"/>
        <v>2101</v>
      </c>
      <c r="T31" s="144">
        <f t="shared" si="36"/>
        <v>4861</v>
      </c>
      <c r="U31" s="144">
        <f t="shared" si="36"/>
        <v>3620</v>
      </c>
      <c r="V31" s="144">
        <f t="shared" si="36"/>
        <v>2933</v>
      </c>
      <c r="W31" s="144">
        <f t="shared" si="36"/>
        <v>911</v>
      </c>
      <c r="X31" s="144">
        <f t="shared" si="36"/>
        <v>1619</v>
      </c>
      <c r="Y31" s="144">
        <f t="shared" si="36"/>
        <v>41</v>
      </c>
      <c r="Z31" s="144">
        <f t="shared" si="36"/>
        <v>96</v>
      </c>
      <c r="AA31" s="144">
        <f t="shared" si="36"/>
        <v>83</v>
      </c>
      <c r="AB31" s="144">
        <f t="shared" si="36"/>
        <v>54</v>
      </c>
      <c r="AC31" s="144">
        <f t="shared" si="36"/>
        <v>0</v>
      </c>
      <c r="AD31" s="144">
        <f t="shared" si="36"/>
        <v>0</v>
      </c>
      <c r="AE31" s="144">
        <f t="shared" si="36"/>
        <v>0</v>
      </c>
      <c r="AF31" s="144">
        <f t="shared" si="36"/>
        <v>0</v>
      </c>
      <c r="AG31" s="144">
        <f t="shared" si="36"/>
        <v>44</v>
      </c>
      <c r="AH31" s="144">
        <f t="shared" si="36"/>
        <v>95</v>
      </c>
      <c r="AI31" s="144">
        <f t="shared" si="36"/>
        <v>103</v>
      </c>
      <c r="AJ31" s="144">
        <f t="shared" si="36"/>
        <v>41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2145</v>
      </c>
      <c r="AZ31" s="144">
        <f>SUBTOTAL(9,AZ9:AZ30)</f>
        <v>4956</v>
      </c>
      <c r="BA31" s="144">
        <f>SUBTOTAL(9,BA9:BA30)</f>
        <v>3723</v>
      </c>
      <c r="BB31" s="144">
        <f>SUBTOTAL(9,BB9:BB30)</f>
        <v>2974</v>
      </c>
      <c r="BC31" s="145">
        <f>SUBTOTAL(9,BC9:BC30)</f>
        <v>1160</v>
      </c>
      <c r="BD31" s="227">
        <f>IF(ISNUMBER(BA31/AZ31),BA31/AZ31," - ")</f>
        <v>0.75121065375302665</v>
      </c>
      <c r="BE31" s="224">
        <f>IF(ISNUMBER(BB31/BA31),BB31/BA31, " - ")</f>
        <v>0.79881815739994633</v>
      </c>
      <c r="BF31" s="224">
        <f>IF(ISNUMBER(BC31/BA31),BC31/BA31, " - ")</f>
        <v>0.31157668546870804</v>
      </c>
      <c r="BG31" s="145">
        <f>IF(ISNUMBER((AY31+AZ31)/BA31),(AY31+AZ31)/BA31," - ")</f>
        <v>1.9073327961321516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3S+D4mIVA/9t7+09UNQoAIKpzxrQjzjNgFvnQ/A9y0CO+5S5AULWtTpddRzlwHT7A8WH61l+34jbSkqL1wM3w==" saltValue="n3gTnQ7MwUvRXzH6DrbR7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Yhg/yuuOn37FlBECUEtGdbLCto5QP/a9UMLIC0X2LDiR6V3lqNXB69Qyj1LTKkMRBi3HaV9EIfmtjnx9JHDoA==" saltValue="eYu3x+R5Ir2xbfqR3+v2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MOGUER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6</v>
      </c>
      <c r="AD10" s="549"/>
      <c r="AE10" s="563"/>
      <c r="AF10" s="551">
        <f>IF(ISNUMBER(Datos!L10),Datos!L10,"-")</f>
        <v>15</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9</v>
      </c>
      <c r="BE10" s="693" t="str">
        <f>IF(ISNUMBER(Datos!BW10),Datos!BW10," - ")</f>
        <v xml:space="preserve"> - </v>
      </c>
      <c r="BF10" s="762" t="str">
        <f>IF(ISNUMBER(Datos!BX10),Datos!BX10," - ")</f>
        <v xml:space="preserve"> - </v>
      </c>
      <c r="BG10" s="763">
        <f>IF(ISNUMBER(Datos!K10/Datos!J10),Datos!K10/Datos!J10," - ")</f>
        <v>0.86363636363636365</v>
      </c>
      <c r="BH10" s="764">
        <f>IF(ISNUMBER(((Datos!L10/Datos!K10)*11)/factor_trimestre),((Datos!L10/Datos!K10)*11)/factor_trimestre," - ")</f>
        <v>4.3421052631578947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96</v>
      </c>
      <c r="O12" s="549"/>
      <c r="P12" s="549"/>
      <c r="Q12" s="547">
        <f>IF(ISNUMBER(Datos!P12),Datos!P12,0)</f>
        <v>328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2125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325</v>
      </c>
      <c r="BD12" s="693">
        <f>IF(ISNUMBER(Datos!N12),Datos!N12," - ")</f>
        <v>781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0.81070166582534076</v>
      </c>
      <c r="BH12" s="764">
        <f>IF(ISNUMBER(((IF(J_V="SI",Datos!L12/Datos!K12,(Datos!L12+Datos!AB12)/(Datos!K12+Datos!AA12)))*11)/factor_trimestre),((IF(J_V="SI",Datos!L12/Datos!K12,(Datos!L12+Datos!AB12)/(Datos!K12+Datos!AA12)))*11)/factor_trimestre," - ")</f>
        <v>16.342465753424658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1.723312589755864E-2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96</v>
      </c>
      <c r="O14" s="1199">
        <f t="shared" si="1"/>
        <v>0</v>
      </c>
      <c r="P14" s="1199">
        <f t="shared" si="1"/>
        <v>0</v>
      </c>
      <c r="Q14" s="1198">
        <f t="shared" si="1"/>
        <v>337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298</v>
      </c>
      <c r="AD14" s="1198">
        <f t="shared" si="2"/>
        <v>0</v>
      </c>
      <c r="AE14" s="1198">
        <f t="shared" si="2"/>
        <v>0</v>
      </c>
      <c r="AF14" s="1198">
        <f t="shared" si="2"/>
        <v>15</v>
      </c>
      <c r="AG14" s="1198">
        <f t="shared" si="2"/>
        <v>0</v>
      </c>
      <c r="AH14" s="1198">
        <f t="shared" si="2"/>
        <v>54</v>
      </c>
      <c r="AI14" s="1198">
        <f t="shared" si="2"/>
        <v>0</v>
      </c>
      <c r="AJ14" s="1198">
        <f t="shared" si="2"/>
        <v>0</v>
      </c>
      <c r="AK14" s="1198">
        <f t="shared" si="2"/>
        <v>0</v>
      </c>
      <c r="AL14" s="1198">
        <f t="shared" si="2"/>
        <v>0</v>
      </c>
      <c r="AM14" s="1198">
        <f t="shared" si="2"/>
        <v>2130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333</v>
      </c>
      <c r="BD14" s="1198">
        <f t="shared" si="2"/>
        <v>790</v>
      </c>
      <c r="BE14" s="1198">
        <f t="shared" si="2"/>
        <v>0</v>
      </c>
      <c r="BF14" s="1198">
        <f t="shared" si="2"/>
        <v>0</v>
      </c>
      <c r="BG14" s="1198">
        <f>IF(ISNUMBER(Datos!K14/Datos!J14),Datos!K14/Datos!J14," - ")</f>
        <v>0.809227579056506</v>
      </c>
      <c r="BH14" s="1202">
        <f>IF(ISNUMBER(((Datos!L14/Datos!K14)*11)/factor_trimestre),((Datos!L14/Datos!K14)*11)/factor_trimestre," - ")</f>
        <v>16.538757206918643</v>
      </c>
      <c r="BI14" s="1198">
        <f>IF(ISNUMBER('Resol  Asuntos'!D14/NºAsuntos!G14),'Resol  Asuntos'!D14/NºAsuntos!G14," - ")</f>
        <v>0.20255474452554745</v>
      </c>
      <c r="BJ14" s="1198" t="str">
        <f>IF(ISNUMBER(Datos!CI14/Datos!CJ14),Datos!CI14/Datos!CJ14," - ")</f>
        <v xml:space="preserve"> - </v>
      </c>
      <c r="BK14" s="1198">
        <f>SUBTOTAL(9,BK8:BK13)</f>
        <v>0</v>
      </c>
      <c r="BL14" s="1198">
        <f>IF(ISNUMBER((I14-AB14+L14)/(F14)),(I14-AB14+L14)/(F14)," - ")</f>
        <v>-4.2222222222222223</v>
      </c>
      <c r="BM14" s="1203">
        <f>SUBTOTAL(9,BM9:BM13)</f>
        <v>1.5172331258975587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895</v>
      </c>
      <c r="G17" s="743">
        <f>IF(ISNUMBER(IF(D_I="SI",Datos!I17,Datos!I17+Datos!AC17)),IF(D_I="SI",Datos!I17,Datos!I17+Datos!AC17)," - ")</f>
        <v>895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2516</v>
      </c>
      <c r="AC17" s="240">
        <f>IF(ISNUMBER(Datos!Q17),Datos!Q17," - ")</f>
        <v>69</v>
      </c>
      <c r="AD17" s="374"/>
      <c r="AE17" s="562"/>
      <c r="AF17" s="741">
        <f>IF(ISNUMBER(IF(D_I="SI",Datos!L17,Datos!L17+Datos!AF17)),IF(D_I="SI",Datos!L17,Datos!L17+Datos!AF17)," - ")</f>
        <v>1327</v>
      </c>
      <c r="AG17" s="374"/>
      <c r="AH17" s="374"/>
      <c r="AI17" s="374"/>
      <c r="AJ17" s="549"/>
      <c r="AK17" s="374"/>
      <c r="AL17" s="545"/>
      <c r="AM17" s="375">
        <f>IF(ISNUMBER(Datos!R17),Datos!R17," - ")</f>
        <v>87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454</v>
      </c>
      <c r="BD17" s="243">
        <f>IF(ISNUMBER(Datos!N17),Datos!N17," - ")</f>
        <v>1680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0.85345997286295794</v>
      </c>
      <c r="BH17" s="764">
        <f>IF(ISNUMBER(((IF(D_I="SI",Datos!L17/Datos!K17,(Datos!L17+Datos!AF17)/(Datos!K17+Datos!AE17)))*11)/factor_trimestre),((IF(D_I="SI",Datos!L17/Datos!K17,(Datos!L17+Datos!AF17)/(Datos!K17+Datos!AE17)))*11)/factor_trimestre," - ")</f>
        <v>5.8016693163751984</v>
      </c>
      <c r="BI17" s="266">
        <f>IF(ISNUMBER('Resol  Asuntos'!D17/NºAsuntos!G17),'Resol  Asuntos'!D17/NºAsuntos!G17," - ")</f>
        <v>0.18044515103338632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475</v>
      </c>
      <c r="AC18" s="547">
        <f>IF(ISNUMBER(Datos!Q18),Datos!Q18," - ")</f>
        <v>3</v>
      </c>
      <c r="AD18" s="549"/>
      <c r="AE18" s="562"/>
      <c r="AF18" s="551">
        <f>IF(ISNUMBER(Datos!L18),Datos!L18,"-")</f>
        <v>37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76</v>
      </c>
      <c r="BD18" s="693">
        <f>IF(ISNUMBER(Datos!N18),Datos!N18," - ")</f>
        <v>324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1.0485651214128036</v>
      </c>
      <c r="BH18" s="764">
        <f>IF(ISNUMBER(((IF(D_I="SI",Datos!L18/Datos!K18,(Datos!L18+Datos!AF18)/(Datos!K18+Datos!AE18)))*11)/factor_trimestre),((IF(D_I="SI",Datos!L18/Datos!K18,(Datos!L18+Datos!AF18)/(Datos!K18+Datos!AE18)))*11)/factor_trimestre," - ")</f>
        <v>0.85684210526315796</v>
      </c>
      <c r="BI18" s="763">
        <f>IF(ISNUMBER('Resol  Asuntos'!D18/NºAsuntos!G18),'Resol  Asuntos'!D18/NºAsuntos!G18," - ")</f>
        <v>0.16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895</v>
      </c>
      <c r="G23" s="1197">
        <f>SUBTOTAL(9,G16:G22)</f>
        <v>954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2991</v>
      </c>
      <c r="AC23" s="1198">
        <f t="shared" si="5"/>
        <v>72</v>
      </c>
      <c r="AD23" s="1198">
        <f t="shared" si="5"/>
        <v>0</v>
      </c>
      <c r="AE23" s="1198">
        <f t="shared" si="5"/>
        <v>0</v>
      </c>
      <c r="AF23" s="1198">
        <f t="shared" si="5"/>
        <v>1364</v>
      </c>
      <c r="AG23" s="1198">
        <f t="shared" si="5"/>
        <v>0</v>
      </c>
      <c r="AH23" s="1198">
        <f t="shared" si="5"/>
        <v>0</v>
      </c>
      <c r="AI23" s="1198">
        <f t="shared" si="5"/>
        <v>0</v>
      </c>
      <c r="AJ23" s="1198">
        <f t="shared" si="5"/>
        <v>0</v>
      </c>
      <c r="AK23" s="1198">
        <f t="shared" si="5"/>
        <v>0</v>
      </c>
      <c r="AL23" s="1198">
        <f t="shared" si="5"/>
        <v>0</v>
      </c>
      <c r="AM23" s="1198">
        <f t="shared" si="5"/>
        <v>89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530</v>
      </c>
      <c r="BD23" s="1198">
        <f t="shared" si="5"/>
        <v>2004</v>
      </c>
      <c r="BE23" s="1198">
        <f t="shared" si="5"/>
        <v>0</v>
      </c>
      <c r="BF23" s="1198">
        <f t="shared" si="5"/>
        <v>0</v>
      </c>
      <c r="BG23" s="1198">
        <f>IF(ISNUMBER(Datos!K23/Datos!J23),Datos!K23/Datos!J23," - ")</f>
        <v>0.87944722140546894</v>
      </c>
      <c r="BH23" s="1202">
        <f>IF(ISNUMBER(((Datos!L23/Datos!K23)*11)/factor_trimestre),((Datos!L23/Datos!K23)*11)/factor_trimestre," - ")</f>
        <v>5.0163824807756603</v>
      </c>
      <c r="BI23" s="1198">
        <f>SUBTOTAL(9,BI16:BI22)</f>
        <v>0.34044515103338635</v>
      </c>
      <c r="BJ23" s="1198">
        <f>SUBTOTAL(9,BJ16:BJ22)</f>
        <v>0</v>
      </c>
      <c r="BK23" s="1198">
        <f>SUBTOTAL(9,BK16:BK22)</f>
        <v>0</v>
      </c>
      <c r="BL23" s="1198">
        <f>IF(ISNUMBER((I23-AB23+L23)/(F23)),(I23-AB23+L23)/(F23)," - ")</f>
        <v>-3.3418994413407823</v>
      </c>
      <c r="BM23" s="1205">
        <f>IF(ISNUMBER((Datos!P23-Datos!Q23)/(Datos!R23-Datos!P23+Datos!Q23)),(Datos!P23-Datos!Q23)/(Datos!R23-Datos!P23+Datos!Q23)," - ")</f>
        <v>-1.1111111111111112E-2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904</v>
      </c>
      <c r="G31" s="1117">
        <f t="shared" si="18"/>
        <v>963</v>
      </c>
      <c r="H31" s="1119">
        <f t="shared" si="18"/>
        <v>0</v>
      </c>
      <c r="I31" s="1117">
        <f t="shared" si="18"/>
        <v>0</v>
      </c>
      <c r="J31" s="1119">
        <f t="shared" si="18"/>
        <v>0</v>
      </c>
      <c r="K31" s="1119">
        <f t="shared" si="18"/>
        <v>0</v>
      </c>
      <c r="L31" s="1180">
        <f t="shared" si="18"/>
        <v>0</v>
      </c>
      <c r="M31" s="1180">
        <f t="shared" si="18"/>
        <v>0</v>
      </c>
      <c r="N31" s="1180">
        <f t="shared" si="18"/>
        <v>96</v>
      </c>
      <c r="O31" s="1180">
        <f t="shared" si="18"/>
        <v>0</v>
      </c>
      <c r="P31" s="1180">
        <f t="shared" si="18"/>
        <v>0</v>
      </c>
      <c r="Q31" s="1119">
        <f t="shared" si="18"/>
        <v>408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3029</v>
      </c>
      <c r="AC31" s="1118">
        <f t="shared" si="19"/>
        <v>370</v>
      </c>
      <c r="AD31" s="1118">
        <f t="shared" si="19"/>
        <v>0</v>
      </c>
      <c r="AE31" s="1118">
        <f t="shared" si="19"/>
        <v>0</v>
      </c>
      <c r="AF31" s="1125">
        <f t="shared" si="19"/>
        <v>1379</v>
      </c>
      <c r="AG31" s="1125">
        <f t="shared" si="19"/>
        <v>0</v>
      </c>
      <c r="AH31" s="1125">
        <f t="shared" si="19"/>
        <v>54</v>
      </c>
      <c r="AI31" s="1125">
        <f t="shared" si="19"/>
        <v>0</v>
      </c>
      <c r="AJ31" s="1118">
        <f t="shared" si="19"/>
        <v>0</v>
      </c>
      <c r="AK31" s="1125">
        <f t="shared" si="19"/>
        <v>0</v>
      </c>
      <c r="AL31" s="1125">
        <f t="shared" si="19"/>
        <v>0</v>
      </c>
      <c r="AM31" s="1125">
        <f t="shared" si="19"/>
        <v>2219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863</v>
      </c>
      <c r="BD31" s="1117">
        <f t="shared" si="19"/>
        <v>2794</v>
      </c>
      <c r="BE31" s="1117">
        <f t="shared" si="19"/>
        <v>0</v>
      </c>
      <c r="BF31" s="1127">
        <f t="shared" si="19"/>
        <v>0</v>
      </c>
      <c r="BG31" s="1223">
        <f>IF(ISNUMBER(Datos!K31/Datos!J31),Datos!K31/Datos!J31," - ")</f>
        <v>0.85403377110694179</v>
      </c>
      <c r="BH31" s="1223">
        <f>IF(ISNUMBER(((Datos!L31/Datos!K31)*11)/factor_trimestre),((Datos!L31/Datos!K31)*11)/factor_trimestre," - ")</f>
        <v>8.9677065026362044</v>
      </c>
      <c r="BI31" s="1103">
        <f>IF(ISNUMBER(Datos!J31/Datos!I31),Datos!J31/Datos!I31," - ")</f>
        <v>1.8172519604500512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-3.3506637168141591</v>
      </c>
      <c r="BM31" s="1188">
        <f>IF(ISNUMBER((Datos!P31-Datos!Q31+R31)/(Datos!R31-Datos!P31+Datos!Q31-R31)),(Datos!P31-Datos!Q31+R31)/(Datos!R31-Datos!P31+Datos!Q31-R31)," - ")</f>
        <v>1.7423200366804219E-2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275.14285714285717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459.86983665670732</v>
      </c>
      <c r="G33" s="674">
        <f>IF(ISNUMBER(STDEV(G8:G30)),STDEV(G8:G30),"-")</f>
        <v>444.38325372416568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1307.802464332548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219.41008571687337</v>
      </c>
      <c r="BD33" s="673"/>
      <c r="BE33" s="673">
        <f>IF(ISNUMBER(STDEV(BE8:BE30)),STDEV(BE8:BE30),"-")</f>
        <v>0</v>
      </c>
      <c r="BF33" s="678">
        <f>IF(ISNUMBER(STDEV(BF8:BF30)),STDEV(BF8:BF30),"-")</f>
        <v>0</v>
      </c>
      <c r="BG33" s="1052">
        <f>IF(ISNUMBER(STDEV(BG8:BG30)),STDEV(BG8:BG30),"-")</f>
        <v>8.8498962054297109E-2</v>
      </c>
      <c r="BH33" s="1058">
        <f>IF(ISNUMBER(STDEV(BH8:BH30)),STDEV(BH8:BH30),"-")</f>
        <v>6.6409663789502043</v>
      </c>
      <c r="BI33" s="273">
        <f>IF(ISNUMBER(STDEV(BI8:BI30)),STDEV(BI8:BI30),"-")</f>
        <v>8.1594506220884724E-2</v>
      </c>
      <c r="BJ33" s="244" t="str">
        <f>IF(ISNUMBER(BL33/BM33),BL33/BM33," - ")</f>
        <v xml:space="preserve"> - </v>
      </c>
      <c r="BK33" s="709"/>
      <c r="BL33" s="681">
        <f>IF(ISNUMBER(STDEV(BL8:BL30)),STDEV(BL8:BL30),"-")</f>
        <v>0.62248220799426435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QI3NxGvNdLrcfT22/jjPiB+B5xR92MQdejsmuy11uTKBd4nKDA9VJQj0WdlI7wH/u8mGeOU4bf+jd38EFkSJg==" saltValue="+yxG9S+3ViqG6Q+LRr7x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MOGUER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6</v>
      </c>
      <c r="AA10" s="551">
        <f>IF(ISNUMBER(Datos!L10),Datos!L10,"-")</f>
        <v>15</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8</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4.3421052631578947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292</v>
      </c>
      <c r="AA12" s="551" t="str">
        <f>IF(ISNUMBER(IF(J_V="SI",Datos!L12,Datos!L12+Datos!AB12)-IF(Monitorios="SI",Datos!CD12,0)),
                          IF(J_V="SI",Datos!L12,Datos!L12+Datos!AB12)-IF(Monitorios="SI",Datos!CD12,0),
                          " - ")</f>
        <v xml:space="preserve"> - </v>
      </c>
      <c r="AB12" s="549"/>
      <c r="AC12" s="549"/>
      <c r="AD12" s="563"/>
      <c r="AE12" s="563">
        <f>IF(ISNUMBER(Datos!R12),Datos!R12," - ")</f>
        <v>2125</v>
      </c>
      <c r="AF12" s="693" t="str">
        <f>IF(ISNUMBER(Datos!BV12),Datos!BV12," - ")</f>
        <v xml:space="preserve"> - </v>
      </c>
      <c r="AG12" s="552" t="str">
        <f>IF(ISNUMBER(Datos!DV12),Datos!DV12," - ")</f>
        <v xml:space="preserve"> - </v>
      </c>
      <c r="AH12" s="553"/>
      <c r="AI12" s="554"/>
      <c r="AJ12" s="552">
        <f>IF(ISNUMBER(Datos!M12),Datos!M12," - ")</f>
        <v>325</v>
      </c>
      <c r="AK12" s="693">
        <f>IF(ISNUMBER(Datos!N12),Datos!N12," - ")</f>
        <v>781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16.342465753424658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1.723312589755864E-2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337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298</v>
      </c>
      <c r="AA14" s="1199">
        <f t="shared" si="3"/>
        <v>15</v>
      </c>
      <c r="AB14" s="1199">
        <f t="shared" si="3"/>
        <v>0</v>
      </c>
      <c r="AC14" s="1199">
        <f t="shared" si="3"/>
        <v>0</v>
      </c>
      <c r="AD14" s="1199">
        <f t="shared" si="3"/>
        <v>0</v>
      </c>
      <c r="AE14" s="1199">
        <f t="shared" si="3"/>
        <v>2130</v>
      </c>
      <c r="AF14" s="1211">
        <f t="shared" si="3"/>
        <v>0</v>
      </c>
      <c r="AG14" s="1211">
        <f t="shared" si="3"/>
        <v>0</v>
      </c>
      <c r="AH14" s="1211">
        <f t="shared" si="3"/>
        <v>0</v>
      </c>
      <c r="AI14" s="1211">
        <f t="shared" si="3"/>
        <v>0</v>
      </c>
      <c r="AJ14" s="1211">
        <f t="shared" si="3"/>
        <v>333</v>
      </c>
      <c r="AK14" s="1211">
        <f t="shared" si="3"/>
        <v>790</v>
      </c>
      <c r="AL14" s="1211">
        <f t="shared" si="3"/>
        <v>0</v>
      </c>
      <c r="AM14" s="1211">
        <f t="shared" si="3"/>
        <v>0</v>
      </c>
      <c r="AN14" s="1211">
        <f t="shared" si="3"/>
        <v>0</v>
      </c>
      <c r="AO14" s="1203">
        <f>IF(ISNUMBER(((NºAsuntos!I14/NºAsuntos!G14)*11)/factor_trimestre),((NºAsuntos!I14/NºAsuntos!G14)*11)/factor_trimestre," - ")</f>
        <v>16.06508515815085</v>
      </c>
      <c r="AP14" s="1213" t="str">
        <f>IF(ISNUMBER(Datos!CI14/Datos!CJ14),Datos!CI14/Datos!CJ14," - ")</f>
        <v xml:space="preserve"> - </v>
      </c>
      <c r="AQ14" s="1236">
        <f t="shared" ref="AQ14:AV14" si="4">SUBTOTAL(9,AQ9:AQ13)</f>
        <v>0</v>
      </c>
      <c r="AR14" s="1236">
        <f t="shared" si="4"/>
        <v>1.5172331258975587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895</v>
      </c>
      <c r="G17" s="552">
        <f>IF(ISNUMBER(IF(D_I="SI",Datos!I17,Datos!I17+Datos!AC17)),IF(D_I="SI",Datos!I17,Datos!I17+Datos!AC17)," - ")</f>
        <v>895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2516</v>
      </c>
      <c r="Z17" s="805">
        <f>IF(ISNUMBER(Datos!Q17),Datos!Q17," - ")</f>
        <v>69</v>
      </c>
      <c r="AA17" s="551">
        <f>IF(ISNUMBER(IF(D_I="SI",Datos!L17,Datos!L17+Datos!AF17)),IF(D_I="SI",Datos!L17,Datos!L17+Datos!AF17)," - ")</f>
        <v>1327</v>
      </c>
      <c r="AB17" s="549"/>
      <c r="AC17" s="549"/>
      <c r="AD17" s="563"/>
      <c r="AE17" s="563">
        <f>IF(ISNUMBER(Datos!R17),Datos!R17," - ")</f>
        <v>87</v>
      </c>
      <c r="AF17" s="693" t="str">
        <f>IF(ISNUMBER(Datos!BV17),Datos!BV17," - ")</f>
        <v xml:space="preserve"> - </v>
      </c>
      <c r="AG17" s="552"/>
      <c r="AH17" s="553"/>
      <c r="AI17" s="554"/>
      <c r="AJ17" s="552">
        <f>IF(ISNUMBER(Datos!M17),Datos!M17," - ")</f>
        <v>454</v>
      </c>
      <c r="AK17" s="693">
        <f>IF(ISNUMBER(Datos!N17),Datos!N17," - ")</f>
        <v>1680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5.8016693163751984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475</v>
      </c>
      <c r="Z18" s="805">
        <f>IF(ISNUMBER(Datos!Q18),Datos!Q18," - ")</f>
        <v>3</v>
      </c>
      <c r="AA18" s="551">
        <f>IF(ISNUMBER(Datos!L18),Datos!L18,"-")</f>
        <v>37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76</v>
      </c>
      <c r="AK18" s="693">
        <f>IF(ISNUMBER(Datos!N18),Datos!N18," - ")</f>
        <v>324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0.85684210526315796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895</v>
      </c>
      <c r="G23" s="1197">
        <f>SUBTOTAL(9,G16:G22)</f>
        <v>954</v>
      </c>
      <c r="H23" s="1240">
        <f>SUBTOTAL(9,H16:H22)</f>
        <v>0</v>
      </c>
      <c r="I23" s="1217">
        <f>SUBTOTAL(9,I16:I22)</f>
        <v>0</v>
      </c>
      <c r="J23" s="1164">
        <f>SUBTOTAL(9,J15:J22)</f>
        <v>0</v>
      </c>
      <c r="K23" s="1240">
        <f t="shared" ref="K23:S23" si="5">SUBTOTAL(9,K16:K22)</f>
        <v>0</v>
      </c>
      <c r="L23" s="1240">
        <f t="shared" si="5"/>
        <v>0</v>
      </c>
      <c r="M23" s="1240">
        <f t="shared" si="5"/>
        <v>0</v>
      </c>
      <c r="N23" s="1240">
        <f t="shared" si="5"/>
        <v>71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2991</v>
      </c>
      <c r="Z23" s="1240">
        <f t="shared" si="6"/>
        <v>72</v>
      </c>
      <c r="AA23" s="1240">
        <f t="shared" si="6"/>
        <v>1364</v>
      </c>
      <c r="AB23" s="1240">
        <f t="shared" si="6"/>
        <v>0</v>
      </c>
      <c r="AC23" s="1240">
        <f t="shared" si="6"/>
        <v>0</v>
      </c>
      <c r="AD23" s="1240">
        <f t="shared" si="6"/>
        <v>0</v>
      </c>
      <c r="AE23" s="1240">
        <f t="shared" si="6"/>
        <v>89</v>
      </c>
      <c r="AF23" s="1240">
        <f t="shared" si="6"/>
        <v>0</v>
      </c>
      <c r="AG23" s="1240">
        <f t="shared" si="6"/>
        <v>0</v>
      </c>
      <c r="AH23" s="1240">
        <f t="shared" si="6"/>
        <v>0</v>
      </c>
      <c r="AI23" s="1240">
        <f t="shared" si="6"/>
        <v>0</v>
      </c>
      <c r="AJ23" s="1240">
        <f t="shared" si="6"/>
        <v>530</v>
      </c>
      <c r="AK23" s="1240">
        <f t="shared" si="6"/>
        <v>2004</v>
      </c>
      <c r="AL23" s="1240">
        <f t="shared" si="6"/>
        <v>0</v>
      </c>
      <c r="AM23" s="1240">
        <f t="shared" si="6"/>
        <v>0</v>
      </c>
      <c r="AN23" s="1240">
        <f t="shared" si="6"/>
        <v>0</v>
      </c>
      <c r="AO23" s="1242">
        <f>IF(ISNUMBER(((NºAsuntos!I23/NºAsuntos!G23)*11)/factor_trimestre),((NºAsuntos!I23/NºAsuntos!G23)*11)/factor_trimestre," - ")</f>
        <v>5.0163824807756603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904</v>
      </c>
      <c r="G31" s="1117">
        <f t="shared" si="12"/>
        <v>963</v>
      </c>
      <c r="H31" s="1118">
        <f t="shared" si="12"/>
        <v>0</v>
      </c>
      <c r="I31" s="1117">
        <f t="shared" si="12"/>
        <v>0</v>
      </c>
      <c r="J31" s="1119">
        <f t="shared" si="12"/>
        <v>0</v>
      </c>
      <c r="K31" s="1117">
        <f t="shared" si="12"/>
        <v>0</v>
      </c>
      <c r="L31" s="1120">
        <f t="shared" si="12"/>
        <v>0</v>
      </c>
      <c r="M31" s="1117">
        <f t="shared" si="12"/>
        <v>0</v>
      </c>
      <c r="N31" s="1118">
        <f t="shared" si="12"/>
        <v>408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3029</v>
      </c>
      <c r="Z31" s="1124">
        <f t="shared" si="13"/>
        <v>370</v>
      </c>
      <c r="AA31" s="1125">
        <f t="shared" si="13"/>
        <v>1379</v>
      </c>
      <c r="AB31" s="1125">
        <f t="shared" si="13"/>
        <v>0</v>
      </c>
      <c r="AC31" s="1125">
        <f t="shared" si="13"/>
        <v>0</v>
      </c>
      <c r="AD31" s="1126">
        <f t="shared" si="13"/>
        <v>0</v>
      </c>
      <c r="AE31" s="1126">
        <f t="shared" si="13"/>
        <v>2219</v>
      </c>
      <c r="AF31" s="1127">
        <f t="shared" si="13"/>
        <v>0</v>
      </c>
      <c r="AG31" s="1128">
        <f t="shared" si="13"/>
        <v>0</v>
      </c>
      <c r="AH31" s="1129">
        <f t="shared" si="13"/>
        <v>0</v>
      </c>
      <c r="AI31" s="1127">
        <f t="shared" si="13"/>
        <v>0</v>
      </c>
      <c r="AJ31" s="1117">
        <f t="shared" si="13"/>
        <v>863</v>
      </c>
      <c r="AK31" s="1117">
        <f t="shared" si="13"/>
        <v>2794</v>
      </c>
      <c r="AL31" s="1117">
        <f t="shared" si="13"/>
        <v>0</v>
      </c>
      <c r="AM31" s="1130">
        <f t="shared" si="13"/>
        <v>0</v>
      </c>
      <c r="AN31" s="1120">
        <f>IF(ISNUMBER(Datos!K31/Datos!J31),Datos!K31/Datos!J31," - ")</f>
        <v>0.85403377110694179</v>
      </c>
      <c r="AO31" s="1120">
        <f>IF(ISNUMBER(FIND("06",Criterios!A8,1)),(IF(ISNUMBER(((Datos!R31/Datos!Q31)*11)/factor_trimestre),((Datos!R31/Datos!Q31)*11)/factor_trimestre," - ")),(IF(ISNUMBER(((Datos!L31/Datos!K31)*11)/factor_trimestre),((Datos!L31/Datos!K31)*11)/factor_trimestre," - ")))</f>
        <v>8.9677065026362044</v>
      </c>
      <c r="AP31" s="1131" t="str">
        <f>IF(ISNUMBER(Datos!CI31/Datos!CJ31),Datos!CI31/Datos!CJ31," - ")</f>
        <v xml:space="preserve"> - </v>
      </c>
      <c r="AQ31" s="1131">
        <f>IF(OR(ISNUMBER(FIND("01",Criterios!A8,1)),ISNUMBER(FIND("02",Criterios!A8,1)),ISNUMBER(FIND("03",Criterios!A8,1)),ISNUMBER(FIND("04",Criterios!A8,1))),(J31-Y31+K31)/(F31-K31),(I31-Y31+K31)/(F31-K31))</f>
        <v>-3.3506637168141591</v>
      </c>
      <c r="AR31" s="1131">
        <f>IF(ISNUMBER((Datos!P31-Datos!Q31+O31)/(Datos!R31-Datos!P31+Datos!Q31-O31)),(Datos!P31-Datos!Q31+O31)/(Datos!R31-Datos!P31+Datos!Q31-O31)," - ")</f>
        <v>1.7423200366804219E-2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275.14285714285717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459.86983665670732</v>
      </c>
      <c r="G33" s="674">
        <f>IF(ISNUMBER(STDEV(G8:G30)),STDEV(G8:G30),"-")</f>
        <v>444.38325372416568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219.41008571687337</v>
      </c>
      <c r="AK33" s="276"/>
      <c r="AL33" s="276">
        <f>IF(ISNUMBER(STDEV(AL8:AL30)),STDEV(AL8:AL30),"-")</f>
        <v>0</v>
      </c>
      <c r="AM33" s="278">
        <f>IF(ISNUMBER(STDEV(AM8:AM30)),STDEV(AM8:AM30),"-")</f>
        <v>0</v>
      </c>
      <c r="AN33" s="660">
        <f>IF(ISNUMBER(STDEV(AN8:AN30)),STDEV(AN8:AN30),"-")</f>
        <v>0</v>
      </c>
      <c r="AO33" s="661">
        <f>IF(ISNUMBER(STDEV(AO8:AO30)),STDEV(AO8:AO30),"-")</f>
        <v>6.5230640485051419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ioFf1HyRwc+Tqvx9Pdjv0poW5kati3Ku2VS+nTlU+hx/Oy4wNS4Lroi2PbpCJgJPRXagAgIiZ2s8Z/JE+BgQg==" saltValue="fWwKqdHcj3KIuESE6i4s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17zMwHLPTO95xk4rUHHJPT8cwnvLH/ZzjQFTXAYaDASVXG39CZ878YZ38P1faSYJKPY2r4AdRK62E8BZ0rTzg==" saltValue="1ooXKaLFMMuFZJKukZL8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LY0yJVeJUAeERVOuMGyrZX+NW5v7yg2XjxcsFv4+EPe5hDZA1oAI7jXvsoYTBvhs7hzwJRmW8t3pAe1z1G2RA==" saltValue="OmQZd0Oa5qTFM0DElmkU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MOGUER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0.20255474452554745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0.14322783341552331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kBLh4rpHMTftrvf+olNY7rKg33j2s1j+dIgeBGf82zOpb7vJxKW2t+Ji3uqXFXsFWsfgaWCTa8x88VcN4Hoig==" saltValue="o/LTZfVw4SaZ7sVXBBzUw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l1s3zzSdyOuzv8YYdq4MAuN+66MNFoLPTTZDcdjd+QkUNYutp/m8Zltt1wJKzs9g94+1g5PqHt91VO6y1M0pw==" saltValue="3UsB6TN5MGjm4e2gU2ro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MOGUER</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44</v>
      </c>
      <c r="F10" s="452">
        <f>IF(ISNUMBER(E10/B10),E10/B10," - ")</f>
        <v>44</v>
      </c>
      <c r="G10" s="451">
        <f>IF(ISNUMBER(Datos!K10),Datos!K10," - ")</f>
        <v>38</v>
      </c>
      <c r="H10" s="452">
        <f>IF(ISNUMBER(G10/B10),G10/B10," - ")</f>
        <v>38</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2011</v>
      </c>
      <c r="D12" s="452">
        <f>IF(ISNUMBER(C12/Datos!BH12),C12/Datos!BH12," - ")</f>
        <v>1005.5</v>
      </c>
      <c r="E12" s="451">
        <f>IF(ISNUMBER(IF(J_V="SI",Datos!J12,Datos!J12+Datos!Z12)),IF(J_V="SI",Datos!J12,Datos!J12+Datos!Z12)," - ")</f>
        <v>1981</v>
      </c>
      <c r="F12" s="452">
        <f>IF(ISNUMBER(E12/B12),E12/B12," - ")</f>
        <v>990.5</v>
      </c>
      <c r="G12" s="451">
        <f>IF(ISNUMBER(IF(J_V="SI",Datos!K12,Datos!K12+Datos!AA12)),IF(J_V="SI",Datos!K12,Datos!K12+Datos!AA12)," - ")</f>
        <v>1606</v>
      </c>
      <c r="H12" s="452">
        <f>IF(ISNUMBER(G12/B12),G12/B12," - ")</f>
        <v>803</v>
      </c>
      <c r="I12" s="451">
        <f>IF(ISNUMBER(IF(J_V="SI",Datos!L12,Datos!L12+Datos!AB12)),IF(J_V="SI",Datos!L12,Datos!L12+Datos!AB12)," - ")</f>
        <v>2386</v>
      </c>
      <c r="J12" s="452">
        <f>IF(ISNUMBER(I12/B12),I12/B12," - ")</f>
        <v>1193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2020</v>
      </c>
      <c r="D14" s="1147" t="str">
        <f>IF(ISNUMBER(C14/Datos!BI14),C14/Datos!BI14," - ")</f>
        <v xml:space="preserve"> - </v>
      </c>
      <c r="E14" s="1146">
        <f>SUBTOTAL(9,E8:E13)</f>
        <v>2025</v>
      </c>
      <c r="F14" s="1147">
        <f>IF(ISNUMBER(E14/B14),E14/B14," - ")</f>
        <v>1012.5</v>
      </c>
      <c r="G14" s="1146">
        <f>SUBTOTAL(9,G8:G13)</f>
        <v>1644</v>
      </c>
      <c r="H14" s="1147">
        <f>IF(ISNUMBER(G14/B14),G14/B14," - ")</f>
        <v>822</v>
      </c>
      <c r="I14" s="1146">
        <f>SUBTOTAL(9,I8:I13)</f>
        <v>2401</v>
      </c>
      <c r="J14" s="1147">
        <f>IF(ISNUMBER(I14/B14),I14/B14," - ")</f>
        <v>1200.5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895</v>
      </c>
      <c r="D17" s="452">
        <f>IF(ISNUMBER(C17/Datos!BH17),C17/Datos!BH17," - ")</f>
        <v>447.5</v>
      </c>
      <c r="E17" s="451">
        <f>IF(ISNUMBER(IF(D_I="SI",Datos!J17,Datos!J17+Datos!AD17)),IF(D_I="SI",Datos!J17,Datos!J17+Datos!AD17)," - ")</f>
        <v>2948</v>
      </c>
      <c r="F17" s="452">
        <f>IF(ISNUMBER(E17/B17),E17/B17," - ")</f>
        <v>1474</v>
      </c>
      <c r="G17" s="451">
        <f>IF(ISNUMBER(IF(D_I="SI",Datos!K17,Datos!K17+Datos!AE17)),IF(D_I="SI",Datos!K17,Datos!K17+Datos!AE17)," - ")</f>
        <v>2516</v>
      </c>
      <c r="H17" s="452">
        <f>IF(ISNUMBER(G17/B17),G17/B17," - ")</f>
        <v>1258</v>
      </c>
      <c r="I17" s="451">
        <f>IF(ISNUMBER(IF(D_I="SI",Datos!L17,Datos!L17+Datos!AF17)),IF(D_I="SI",Datos!L17,Datos!L17+Datos!AF17)," - ")</f>
        <v>1327</v>
      </c>
      <c r="J17" s="452">
        <f>IF(ISNUMBER(I17/B17),I17/B17," - ")</f>
        <v>663.5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453</v>
      </c>
      <c r="F18" s="452">
        <f>IF(ISNUMBER(E18/B18),E18/B18," - ")</f>
        <v>453</v>
      </c>
      <c r="G18" s="451">
        <f>IF(ISNUMBER(IF(D_I="SI",Datos!K18,Datos!K18+Datos!AE18)),IF(D_I="SI",Datos!K18,Datos!K18+Datos!AE18)," - ")</f>
        <v>475</v>
      </c>
      <c r="H18" s="452">
        <f>IF(ISNUMBER(G18/B18),G18/B18," - ")</f>
        <v>475</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954</v>
      </c>
      <c r="D23" s="1147" t="str">
        <f>IF(ISNUMBER(C23/Datos!BI23),C23/Datos!BI23," - ")</f>
        <v xml:space="preserve"> - </v>
      </c>
      <c r="E23" s="1146">
        <f>SUBTOTAL(9,E15:E22)</f>
        <v>3401</v>
      </c>
      <c r="F23" s="1147">
        <f>IF(ISNUMBER(E23/B23),E23/B23," - ")</f>
        <v>1700.5</v>
      </c>
      <c r="G23" s="1146">
        <f>SUBTOTAL(9,G15:G22)</f>
        <v>2991</v>
      </c>
      <c r="H23" s="1147">
        <f>IF(ISNUMBER(G23/B23),G23/B23," - ")</f>
        <v>1495.5</v>
      </c>
      <c r="I23" s="1146">
        <f>SUBTOTAL(9,I15:I22)</f>
        <v>1364</v>
      </c>
      <c r="J23" s="1147">
        <f>IF(ISNUMBER(I23/B23),I23/B23," - ")</f>
        <v>682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2974</v>
      </c>
      <c r="D31" s="1085" t="str">
        <f>IF(ISNUMBER(C31/Datos!BI31),C31/Datos!BI31," - ")</f>
        <v xml:space="preserve"> - </v>
      </c>
      <c r="E31" s="1084">
        <f>SUBTOTAL(9,E9:E30)</f>
        <v>5426</v>
      </c>
      <c r="F31" s="1085">
        <f>IF(ISNUMBER(E31/B31),E31/B31," - ")</f>
        <v>2713</v>
      </c>
      <c r="G31" s="1084">
        <f>SUBTOTAL(9,G9:G30)</f>
        <v>4635</v>
      </c>
      <c r="H31" s="1085">
        <f>IF(ISNUMBER(G31/B31),G31/B31," - ")</f>
        <v>2317.5</v>
      </c>
      <c r="I31" s="1084">
        <f>SUBTOTAL(9,I9:I30)</f>
        <v>3765</v>
      </c>
      <c r="J31" s="1085">
        <f>IF(ISNUMBER(I31/B31),I31/B31," - ")</f>
        <v>1882.5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X8Q94qr8LvqBS0kti2G8gBcsru8aHVBmYcOmxK5nspNKeIvoqz1dzpA0jDOkGwgM1Lsk7Kim7eJbHdptRjb5A==" saltValue="ijr90vTxbpohpKlo5R1A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MOGUER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4.3421052631578947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2125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325</v>
      </c>
      <c r="AM12" s="914">
        <f>IF(ISNUMBER(Datos!N12+DatosP!N17),Datos!N12+DatosP!N17," - ")</f>
        <v>781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16.342465753424658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1.723312589755864E-2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337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292</v>
      </c>
      <c r="AE14" s="1257">
        <f t="shared" si="1"/>
        <v>0</v>
      </c>
      <c r="AF14" s="1257">
        <f t="shared" si="1"/>
        <v>15</v>
      </c>
      <c r="AG14" s="1257">
        <f t="shared" si="1"/>
        <v>0</v>
      </c>
      <c r="AH14" s="1257">
        <f t="shared" si="1"/>
        <v>2125</v>
      </c>
      <c r="AI14" s="1257">
        <f t="shared" si="1"/>
        <v>0</v>
      </c>
      <c r="AJ14" s="1257">
        <f t="shared" si="1"/>
        <v>0</v>
      </c>
      <c r="AK14" s="1257">
        <f t="shared" si="1"/>
        <v>0</v>
      </c>
      <c r="AL14" s="1257">
        <f t="shared" si="1"/>
        <v>333</v>
      </c>
      <c r="AM14" s="1257">
        <f t="shared" si="1"/>
        <v>790</v>
      </c>
      <c r="AN14" s="1257">
        <f t="shared" si="1"/>
        <v>0</v>
      </c>
      <c r="AO14" s="1257">
        <f t="shared" si="1"/>
        <v>0</v>
      </c>
      <c r="AP14" s="1262">
        <f>IF(ISNUMBER(((Datos!L14/Datos!K14)*11)/factor_trimestre),((Datos!L14/Datos!K14)*11)/factor_trimestre," - ")</f>
        <v>16.538757206918643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-4.2222222222222223</v>
      </c>
      <c r="AU14" s="1257" t="str">
        <f>IF(ISNUMBER((DatosP!#REF!-DatosP!#REF!+DatosP!#REF!)/(DatosP!#REF!+DatosP!#REF!-DatosP!#REF!-DatosP!#REF!)),(DatosP!#REF!-DatosP!#REF!+DatosP!#REF!)/(DatosP!#REF!+DatosP!#REF!-DatosP!#REF!-DatosP!#REF!)," - ")</f>
        <v xml:space="preserve"> - </v>
      </c>
      <c r="AV14" s="1263">
        <f>SUBTOTAL(9,AV9:AV13)</f>
        <v>1.723312589755864E-2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5.0163824807756603</v>
      </c>
      <c r="AQ23" s="1262">
        <f>IF(ISNUMBER(((Datos!M23/Datos!L23)*11)/factor_trimestre),((Datos!M23/Datos!L23)*11)/factor_trimestre," - ")</f>
        <v>4.274193548387097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-1.1111111111111112E-2</v>
      </c>
      <c r="AW23" s="1265">
        <f>IF(ISNUMBER((Datos!Q23-Datos!R23)/(Datos!S23-Datos!Q23+Datos!R23)),(Datos!Q23-Datos!R23)/(Datos!S23-Datos!Q23+Datos!R23)," - ")</f>
        <v>-2.800658978583196E-2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337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292</v>
      </c>
      <c r="AE31" s="1284">
        <f t="shared" si="9"/>
        <v>0</v>
      </c>
      <c r="AF31" s="1285">
        <f t="shared" si="9"/>
        <v>15</v>
      </c>
      <c r="AG31" s="1285">
        <f t="shared" si="9"/>
        <v>0</v>
      </c>
      <c r="AH31" s="1285">
        <f t="shared" si="9"/>
        <v>2125</v>
      </c>
      <c r="AI31" s="1285">
        <f t="shared" si="9"/>
        <v>0</v>
      </c>
      <c r="AJ31" s="1286">
        <f t="shared" si="9"/>
        <v>0</v>
      </c>
      <c r="AK31" s="1286">
        <f t="shared" si="9"/>
        <v>0</v>
      </c>
      <c r="AL31" s="1278">
        <f t="shared" si="9"/>
        <v>333</v>
      </c>
      <c r="AM31" s="1278">
        <f t="shared" si="9"/>
        <v>790</v>
      </c>
      <c r="AN31" s="1278">
        <f t="shared" si="9"/>
        <v>0</v>
      </c>
      <c r="AO31" s="1278">
        <f t="shared" si="9"/>
        <v>0</v>
      </c>
      <c r="AP31" s="1278">
        <f>IF(ISNUMBER(((Datos!L31/Datos!K31)*11)/factor_trimestre),((Datos!L31/Datos!K31)*11)/factor_trimestre," - ")</f>
        <v>8.9677065026362044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-4.2222222222222223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1.7423200366804219E-2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168.90944319368293</v>
      </c>
      <c r="AM33" s="1006"/>
      <c r="AN33" s="1006">
        <f>IF(ISNUMBER(STDEV(AN8:AN30)),STDEV(AN8:AN30),"-")</f>
        <v>0</v>
      </c>
      <c r="AO33" s="1012">
        <f>IF(ISNUMBER(STDEV(AO8:AO30)),STDEV(AO8:AO30),"-")</f>
        <v>0</v>
      </c>
      <c r="AP33" s="1065">
        <f>IF(ISNUMBER(STDEV(AP8:AP30)),STDEV(AP8:AP30),"-")</f>
        <v>6.7964784524974737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7u+1ZMaYYfYpmRrmNaLmyAKwlC0ZPqtUcTWx7Bv1STmHlfjvrAXEZ5PUiPE8w93/BNGspQQwfNBsctu6Sbhcw==" saltValue="4stQMCggjCpYNm7eCiEeS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MOGUER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U3lUG43ursx7NcnZaZFUdrOK3tDPPvDlEHUkMF9LO2yC50p/ymSRz2n1jo1TlUyVUtLA5rfTbE8Qq1UVnyqoQ==" saltValue="or1vThVZ0gFgbpnJWX89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MOGUER</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9</v>
      </c>
      <c r="G10" s="452">
        <f>IF(ISNUMBER(F10/B10),F10/B10," - ")</f>
        <v>9</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325</v>
      </c>
      <c r="E12" s="452">
        <f t="shared" si="0"/>
        <v>162.5</v>
      </c>
      <c r="F12" s="451">
        <f>IF(ISNUMBER(Datos!N12),Datos!N12," - ")</f>
        <v>781</v>
      </c>
      <c r="G12" s="452">
        <f t="shared" si="1"/>
        <v>390.5</v>
      </c>
      <c r="H12" s="451">
        <f>IF(ISNUMBER(Datos!O12),Datos!O12," - ")</f>
        <v>690</v>
      </c>
      <c r="I12" s="452">
        <f t="shared" si="2"/>
        <v>345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333</v>
      </c>
      <c r="E14" s="1147">
        <f t="shared" si="0"/>
        <v>111</v>
      </c>
      <c r="F14" s="1146">
        <f>SUBTOTAL(9,F9:F13)</f>
        <v>790</v>
      </c>
      <c r="G14" s="1147">
        <f t="shared" si="1"/>
        <v>263.33333333333331</v>
      </c>
      <c r="H14" s="1146">
        <f>SUBTOTAL(9,H9:H13)</f>
        <v>692</v>
      </c>
      <c r="I14" s="1147">
        <f>IF(ISNUMBER(H14/B14),H14/B14," - ")</f>
        <v>230.66666666666666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454</v>
      </c>
      <c r="E17" s="452">
        <f t="shared" si="3"/>
        <v>227</v>
      </c>
      <c r="F17" s="451">
        <f>IF(ISNUMBER(Datos!N17),Datos!N17," - ")</f>
        <v>1680</v>
      </c>
      <c r="G17" s="452">
        <f t="shared" si="4"/>
        <v>840</v>
      </c>
      <c r="H17" s="451">
        <f>IF(ISNUMBER(Datos!O17),Datos!O17," - ")</f>
        <v>0</v>
      </c>
      <c r="I17" s="452">
        <f t="shared" si="5"/>
        <v>0</v>
      </c>
    </row>
    <row r="18" spans="1:9">
      <c r="A18" s="450" t="str">
        <f>Datos!A18</f>
        <v>Jdos. Violencia contra la mujer</v>
      </c>
      <c r="B18" s="480">
        <f>Datos!AO18</f>
        <v>1</v>
      </c>
      <c r="C18" s="481">
        <f>Datos!AQ18</f>
        <v>0</v>
      </c>
      <c r="D18" s="451">
        <f>IF(ISNUMBER(Datos!M18),Datos!M18," - ")</f>
        <v>76</v>
      </c>
      <c r="E18" s="452">
        <f>IF(ISNUMBER(D18/B18),D18/B18," - ")</f>
        <v>76</v>
      </c>
      <c r="F18" s="451">
        <f>IF(ISNUMBER(Datos!N18),Datos!N18," - ")</f>
        <v>324</v>
      </c>
      <c r="G18" s="452">
        <f>IF(ISNUMBER(F18/B18),F18/B18," - ")</f>
        <v>324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530</v>
      </c>
      <c r="E23" s="1147">
        <f t="shared" si="3"/>
        <v>176.66666666666666</v>
      </c>
      <c r="F23" s="1146">
        <f>SUBTOTAL(9,F16:F22)</f>
        <v>2004</v>
      </c>
      <c r="G23" s="1147">
        <f t="shared" si="4"/>
        <v>668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863</v>
      </c>
      <c r="E31" s="1085">
        <f>IF(ISNUMBER(D31/B31),D31/B31," - ")</f>
        <v>431.5</v>
      </c>
      <c r="F31" s="1084">
        <f>SUBTOTAL(9,F8:F30)</f>
        <v>2794</v>
      </c>
      <c r="G31" s="1085">
        <f>IF(ISNUMBER(F31/B31),F31/B31," - ")</f>
        <v>1397</v>
      </c>
      <c r="H31" s="1084">
        <f>SUBTOTAL(9,H8:H30)</f>
        <v>692</v>
      </c>
      <c r="I31" s="1085">
        <f>IF(ISNUMBER(H31/B31),H31/B31," - ")</f>
        <v>346</v>
      </c>
    </row>
    <row r="34" spans="1:1">
      <c r="A34" s="439" t="str">
        <f>Criterios!A4</f>
        <v>Fecha Informe: 06 may. 2023</v>
      </c>
    </row>
    <row r="39" spans="1:1">
      <c r="A39" s="462"/>
    </row>
  </sheetData>
  <sheetProtection algorithmName="SHA-512" hashValue="8mn3pHQvpq5EeRgFYCZlMnztxjK1c/PbK3K8eef+wwYvXzMbvOgPIs3OAk5fhPN17SL1M/ggao7CmcRhCHTbyQ==" saltValue="8CG2LtpzDY0leGMUclSs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MOGUER</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9</v>
      </c>
      <c r="C10" s="489">
        <f>IF(ISNUMBER(Datos!Q10),Datos!Q10," - ")</f>
        <v>6</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328</v>
      </c>
      <c r="C12" s="489">
        <f>IF(ISNUMBER(Datos!Q12),Datos!Q12," - ")</f>
        <v>292</v>
      </c>
      <c r="D12" s="456">
        <f>IF(ISNUMBER(Datos!R12),Datos!R12," - ")</f>
        <v>2125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337</v>
      </c>
      <c r="C14" s="1150">
        <f>SUBTOTAL(9,C9:C13)</f>
        <v>298</v>
      </c>
      <c r="D14" s="1148">
        <f>SUBTOTAL(9,D9:D13)</f>
        <v>2130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68</v>
      </c>
      <c r="C17" s="489">
        <f>IF(ISNUMBER(Datos!Q17),Datos!Q17," - ")</f>
        <v>69</v>
      </c>
      <c r="D17" s="456">
        <f>IF(ISNUMBER(Datos!R17),Datos!R17," - ")</f>
        <v>87</v>
      </c>
    </row>
    <row r="18" spans="1:4">
      <c r="A18" s="450" t="str">
        <f>Datos!A18</f>
        <v>Jdos. Violencia contra la mujer</v>
      </c>
      <c r="B18" s="488">
        <f>IF(ISNUMBER(Datos!P18),Datos!P18," - ")</f>
        <v>3</v>
      </c>
      <c r="C18" s="489">
        <f>IF(ISNUMBER(Datos!Q18),Datos!Q18," - ")</f>
        <v>3</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71</v>
      </c>
      <c r="C23" s="1150">
        <f>SUBTOTAL(9,C16:C22)</f>
        <v>72</v>
      </c>
      <c r="D23" s="1148">
        <f>SUBTOTAL(9,D16:D22)</f>
        <v>89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408</v>
      </c>
      <c r="C31" s="1089">
        <f>SUBTOTAL(9,C8:C30)</f>
        <v>370</v>
      </c>
      <c r="D31" s="1090">
        <f>SUBTOTAL(9,D8:D30)</f>
        <v>2219</v>
      </c>
    </row>
    <row r="32" spans="1:4" ht="7.5" customHeight="1"/>
    <row r="33" spans="1:1" ht="6" customHeight="1"/>
    <row r="34" spans="1:1">
      <c r="A34" s="439" t="str">
        <f>Criterios!A4</f>
        <v>Fecha Informe: 06 may. 2023</v>
      </c>
    </row>
    <row r="39" spans="1:1">
      <c r="A39" s="462"/>
    </row>
  </sheetData>
  <sheetProtection algorithmName="SHA-512" hashValue="lcR2MR5TQDJ+ma9Mip7gVLCIF/HSEAwYHuWPVeYwpvpzokzukp6cqTzGsc2YXEpA2fDR1I8W3+FyMtV+Fjrdlg==" saltValue="pRqPZo+XCe4AwqEIzhdw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MOGUER</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7.3170731707317069E-2</v>
      </c>
      <c r="D10" s="515">
        <f>IF(ISNUMBER((Datos!K10-Datos!U10)/Datos!U10),(Datos!K10-Datos!U10)/Datos!U10," - ")</f>
        <v>-9.5238095238095233E-2</v>
      </c>
      <c r="E10" s="515">
        <f>IF(ISNUMBER((Datos!L10-Datos!V10)/Datos!V10),(Datos!L10-Datos!V10)/Datos!V10," - ")</f>
        <v>0.66666666666666663</v>
      </c>
      <c r="F10" s="515">
        <f>IF(ISNUMBER((Datos!M10-Datos!W10)/Datos!W10),(Datos!M10-Datos!W10)/Datos!W10," - ")</f>
        <v>-0.57894736842105265</v>
      </c>
      <c r="G10" s="516">
        <f>IF(ISNUMBER((Datos!N10-Datos!X10)/Datos!X10),(Datos!N10-Datos!X10)/Datos!X10," - ")</f>
        <v>-0.4375</v>
      </c>
      <c r="H10" s="514">
        <f>IF(ISNUMBER(((NºAsuntos!G10/NºAsuntos!E10)-Datos!BD10)/Datos!BD10),((NºAsuntos!G10/NºAsuntos!E10)-Datos!BD10)/Datos!BD10," - ")</f>
        <v>-0.15692640692640694</v>
      </c>
      <c r="I10" s="515">
        <f>IF(ISNUMBER(((NºAsuntos!I10/NºAsuntos!G10)-Datos!BE10)/Datos!BE10),((NºAsuntos!I10/NºAsuntos!G10)-Datos!BE10)/Datos!BE10," - ")</f>
        <v>0.84210526315789491</v>
      </c>
      <c r="J10" s="521">
        <f>IF(ISNUMBER((('Resol  Asuntos'!D10/NºAsuntos!G10)-Datos!BF10)/Datos!BF10),(('Resol  Asuntos'!D10/NºAsuntos!G10)-Datos!BF10)/Datos!BF10," - ")</f>
        <v>-0.53462603878116344</v>
      </c>
      <c r="K10" s="522">
        <f>IF(ISNUMBER((((NºAsuntos!C10+NºAsuntos!E10)/NºAsuntos!G10)-Datos!BG10)/Datos!BG10),(((NºAsuntos!C10+NºAsuntos!E10)/NºAsuntos!G10)-Datos!BG10)/Datos!BG10," - ")</f>
        <v>0.14860681114551083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0.3016181229773463</v>
      </c>
      <c r="C12" s="515">
        <f>IF(ISNUMBER(
   IF(J_V="SI",(Datos!J12-Datos!T12)/Datos!T12,(Datos!J12+Datos!Z12-(Datos!T12+Datos!AH12))/(Datos!T12+Datos!AH12))
     ),IF(J_V="SI",(Datos!J12-Datos!T12)/Datos!T12,(Datos!J12+Datos!Z12-(Datos!T12+Datos!AH12))/(Datos!T12+Datos!AH12))," - ")</f>
        <v>0.13589449541284404</v>
      </c>
      <c r="D12" s="515">
        <f>IF(ISNUMBER(
   IF(J_V="SI",(Datos!K12-Datos!U12)/Datos!U12,(Datos!K12+Datos!AA12-(Datos!U12+Datos!AI12))/(Datos!U12+Datos!AI12))
     ),IF(J_V="SI",(Datos!K12-Datos!U12)/Datos!U12,(Datos!K12+Datos!AA12-(Datos!U12+Datos!AI12))/(Datos!U12+Datos!AI12))," - ")</f>
        <v>-1.4119091467157766E-2</v>
      </c>
      <c r="E12" s="515">
        <f>IF(ISNUMBER(
   IF(J_V="SI",(Datos!L12-Datos!V12)/Datos!V12,(Datos!L12+Datos!AB12-(Datos!V12+Datos!AJ12))/(Datos!V12+Datos!AJ12))
     ),IF(J_V="SI",(Datos!L12-Datos!V12)/Datos!V12,(Datos!L12+Datos!AB12-(Datos!V12+Datos!AJ12))/(Datos!V12+Datos!AJ12))," - ")</f>
        <v>0.18647439085032322</v>
      </c>
      <c r="F12" s="515">
        <f>IF(ISNUMBER((Datos!M12-Datos!W12)/Datos!W12),(Datos!M12-Datos!W12)/Datos!W12," - ")</f>
        <v>-3.8461538461538464E-2</v>
      </c>
      <c r="G12" s="516">
        <f>IF(ISNUMBER((Datos!N12-Datos!X12)/Datos!X12),(Datos!N12-Datos!X12)/Datos!X12," - ")</f>
        <v>0.33049403747870526</v>
      </c>
      <c r="H12" s="514">
        <f>IF(ISNUMBER(((NºAsuntos!G12/NºAsuntos!E12)-Datos!BD12)/Datos!BD12),((NºAsuntos!G12/NºAsuntos!E12)-Datos!BD12)/Datos!BD12," - ")</f>
        <v>-0.13206647931283347</v>
      </c>
      <c r="I12" s="515">
        <f>IF(ISNUMBER(((NºAsuntos!I12/NºAsuntos!G12)-Datos!BE12)/Datos!BE12),((NºAsuntos!I12/NºAsuntos!G12)-Datos!BE12)/Datos!BE12," - ")</f>
        <v>0.2034662407815544</v>
      </c>
      <c r="J12" s="521">
        <f>IF(ISNUMBER((('Resol  Asuntos'!D12/NºAsuntos!G12)-Datos!BF12)/Datos!BF12),(('Resol  Asuntos'!D12/NºAsuntos!G12)-Datos!BF12)/Datos!BF12," - ")</f>
        <v>-0.4384081415305891</v>
      </c>
      <c r="K12" s="522">
        <f>IF(ISNUMBER((((NºAsuntos!C12+NºAsuntos!E12)/NºAsuntos!G12)-Datos!BG12)/Datos!BG12),(((NºAsuntos!C12+NºAsuntos!E12)/NºAsuntos!G12)-Datos!BG12)/Datos!BG12," - ")</f>
        <v>0.2311251475256024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0.29903536977491962</v>
      </c>
      <c r="C14" s="1152">
        <f>IF(ISNUMBER(
   IF(J_V="SI",(Datos!J14-Datos!T14)/Datos!T14,(Datos!J14+Datos!Z14-(Datos!T14+Datos!AH14))/(Datos!T14+Datos!AH14))
     ),IF(J_V="SI",(Datos!J14-Datos!T14)/Datos!T14,(Datos!J14+Datos!Z14-(Datos!T14+Datos!AH14))/(Datos!T14+Datos!AH14))," - ")</f>
        <v>0.13445378151260504</v>
      </c>
      <c r="D14" s="1152">
        <f>IF(ISNUMBER(
   IF(J_V="SI",(Datos!K14-Datos!U14)/Datos!U14,(Datos!K14+Datos!AA14-(Datos!U14+Datos!AI14))/(Datos!U14+Datos!AI14))
     ),IF(J_V="SI",(Datos!K14-Datos!U14)/Datos!U14,(Datos!K14+Datos!AA14-(Datos!U14+Datos!AI14))/(Datos!U14+Datos!AI14))," - ")</f>
        <v>-1.615798922800718E-2</v>
      </c>
      <c r="E14" s="1152">
        <f>IF(ISNUMBER(
   IF(J_V="SI",(Datos!L14-Datos!V14)/Datos!V14,(Datos!L14+Datos!AB14-(Datos!V14+Datos!AJ14))/(Datos!V14+Datos!AJ14))
     ),IF(J_V="SI",(Datos!L14-Datos!V14)/Datos!V14,(Datos!L14+Datos!AB14-(Datos!V14+Datos!AJ14))/(Datos!V14+Datos!AJ14))," - ")</f>
        <v>0.18861386138613861</v>
      </c>
      <c r="F14" s="1153">
        <f>IF(ISNUMBER((Datos!M14-Datos!W14)/Datos!W14),(Datos!M14-Datos!W14)/Datos!W14," - ")</f>
        <v>-6.7226890756302518E-2</v>
      </c>
      <c r="G14" s="1154">
        <f>IF(ISNUMBER((Datos!N14-Datos!X14)/Datos!X14),(Datos!N14-Datos!X14)/Datos!X14," - ")</f>
        <v>0.3101160862354892</v>
      </c>
      <c r="H14" s="1154">
        <f>IF(ISNUMBER(((NºAsuntos!G14/NºAsuntos!E14)-Datos!BD14)/Datos!BD14),((NºAsuntos!G14/NºAsuntos!E14)-Datos!BD14)/Datos!BD14," - ")</f>
        <v>-0.13276148680098415</v>
      </c>
      <c r="I14" s="1154">
        <f>IF(ISNUMBER(((NºAsuntos!I14/NºAsuntos!G14)-Datos!BE14)/Datos!BE14),((NºAsuntos!I14/NºAsuntos!G14)-Datos!BE14)/Datos!BE14," - ")</f>
        <v>0.20813489195634891</v>
      </c>
      <c r="J14" s="1154">
        <f>IF(ISNUMBER((('Resol  Asuntos'!D14/NºAsuntos!G14)-Datos!BF14)/Datos!BF14),(('Resol  Asuntos'!D14/NºAsuntos!G14)-Datos!BF14)/Datos!BF14," - ")</f>
        <v>-0.44147033316470335</v>
      </c>
      <c r="K14" s="1154">
        <f>IF(ISNUMBER((((NºAsuntos!C14+NºAsuntos!E14)/NºAsuntos!G14)-Datos!BG14)/Datos!BG14),(((NºAsuntos!C14+NºAsuntos!E14)/NºAsuntos!G14)-Datos!BG14)/Datos!BG14," - ")</f>
        <v>0.23096780890773194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0.66666666666666663</v>
      </c>
      <c r="C17" s="515">
        <f>IF(ISNUMBER(
   IF(D_I="SI",(Datos!J17-Datos!T17)/Datos!T17,(Datos!J17+Datos!AD17-(Datos!T17+Datos!AL17))/(Datos!T17+Datos!AL17))
     ),IF(D_I="SI",(Datos!J17-Datos!T17)/Datos!T17,(Datos!J17+Datos!AD17-(Datos!T17+Datos!AL17))/(Datos!T17+Datos!AL17))," - ")</f>
        <v>6.966618287373004E-2</v>
      </c>
      <c r="D17" s="515">
        <f>IF(ISNUMBER(
   IF(D_I="SI",(Datos!K17-Datos!U17)/Datos!U17,(Datos!K17+Datos!AE17-(Datos!U17+Datos!AM17))/(Datos!U17+Datos!AM17))
     ),IF(D_I="SI",(Datos!K17-Datos!U17)/Datos!U17,(Datos!K17+Datos!AE17-(Datos!U17+Datos!AM17))/(Datos!U17+Datos!AM17))," - ")</f>
        <v>0.52948328267477207</v>
      </c>
      <c r="E17" s="515">
        <f>IF(ISNUMBER(
   IF(D_I="SI",(Datos!L17-Datos!V17)/Datos!V17,(Datos!L17+Datos!AF17-(Datos!V17+Datos!AN17))/(Datos!V17+Datos!AN17))
     ),IF(D_I="SI",(Datos!L17-Datos!V17)/Datos!V17,(Datos!L17+Datos!AF17-(Datos!V17+Datos!AN17))/(Datos!V17+Datos!AN17))," - ")</f>
        <v>0.48268156424581005</v>
      </c>
      <c r="F17" s="515">
        <f>IF(ISNUMBER((Datos!M17-Datos!W17)/Datos!W17),(Datos!M17-Datos!W17)/Datos!W17," - ")</f>
        <v>-5.0209205020920501E-2</v>
      </c>
      <c r="G17" s="516">
        <f>IF(ISNUMBER((Datos!N17-Datos!X17)/Datos!X17),(Datos!N17-Datos!X17)/Datos!X17," - ")</f>
        <v>1.1989528795811519</v>
      </c>
      <c r="H17" s="514">
        <f>IF(ISNUMBER(((NºAsuntos!G17/NºAsuntos!E17)-Datos!BD17)/Datos!BD17),((NºAsuntos!G17/NºAsuntos!E17)-Datos!BD17)/Datos!BD17," - ")</f>
        <v>0.42986971745307734</v>
      </c>
      <c r="I17" s="515">
        <f>IF(ISNUMBER(((NºAsuntos!I17/NºAsuntos!G17)-Datos!BE17)/Datos!BE17),((NºAsuntos!I17/NºAsuntos!G17)-Datos!BE17)/Datos!BE17," - ")</f>
        <v>-3.0599692693021676E-2</v>
      </c>
      <c r="J17" s="521">
        <f>IF(ISNUMBER((('Resol  Asuntos'!D17/NºAsuntos!G17)-Datos!BF17)/Datos!BF17),(('Resol  Asuntos'!D17/NºAsuntos!G17)-Datos!BF17)/Datos!BF17," - ")</f>
        <v>-0.37901198023029187</v>
      </c>
      <c r="K17" s="522">
        <f>IF(ISNUMBER((((NºAsuntos!C17+NºAsuntos!E17)/NºAsuntos!G17)-Datos!BG17)/Datos!BG17),(((NºAsuntos!C17+NºAsuntos!E17)/NºAsuntos!G17)-Datos!BG17)/Datos!BG17," - ")</f>
        <v>-0.23698351805656073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0.11320754716981132</v>
      </c>
      <c r="C18" s="515">
        <f>IF(ISNUMBER(
   IF(D_I="SI",(Datos!J18-Datos!T18)/Datos!T18,(Datos!J18+Datos!AD18-(Datos!T18+Datos!AL18))/(Datos!T18+Datos!AL18))
     ),IF(D_I="SI",(Datos!J18-Datos!T18)/Datos!T18,(Datos!J18+Datos!AD18-(Datos!T18+Datos!AL18))/(Datos!T18+Datos!AL18))," - ")</f>
        <v>9.1566265060240959E-2</v>
      </c>
      <c r="D18" s="515">
        <f>IF(ISNUMBER(
   IF(D_I="SI",(Datos!K18-Datos!U18)/Datos!U18,(Datos!K18+Datos!AE18-(Datos!U18+Datos!AM18))/(Datos!U18+Datos!AM18))
     ),IF(D_I="SI",(Datos!K18-Datos!U18)/Datos!U18,(Datos!K18+Datos!AE18-(Datos!U18+Datos!AM18))/(Datos!U18+Datos!AM18))," - ")</f>
        <v>0.16707616707616707</v>
      </c>
      <c r="E18" s="515">
        <f>IF(ISNUMBER(
   IF(D_I="SI",(Datos!L18-Datos!V18)/Datos!V18,(Datos!L18+Datos!AF18-(Datos!V18+Datos!AN18))/(Datos!V18+Datos!AN18))
     ),IF(D_I="SI",(Datos!L18-Datos!V18)/Datos!V18,(Datos!L18+Datos!AF18-(Datos!V18+Datos!AN18))/(Datos!V18+Datos!AN18))," - ")</f>
        <v>-0.3728813559322034</v>
      </c>
      <c r="F18" s="515">
        <f>IF(ISNUMBER((Datos!M18-Datos!W18)/Datos!W18),(Datos!M18-Datos!W18)/Datos!W18," - ")</f>
        <v>0</v>
      </c>
      <c r="G18" s="516">
        <f>IF(ISNUMBER((Datos!N18-Datos!X18)/Datos!X18),(Datos!N18-Datos!X18)/Datos!X18," - ")</f>
        <v>0.2857142857142857</v>
      </c>
      <c r="H18" s="514">
        <f>IF(ISNUMBER(((NºAsuntos!G18/NºAsuntos!E18)-Datos!BD18)/Datos!BD18),((NºAsuntos!G18/NºAsuntos!E18)-Datos!BD18)/Datos!BD18," - ")</f>
        <v>6.9175738049910299E-2</v>
      </c>
      <c r="I18" s="515">
        <f>IF(ISNUMBER(((NºAsuntos!I18/NºAsuntos!G18)-Datos!BE18)/Datos!BE18),((NºAsuntos!I18/NºAsuntos!G18)-Datos!BE18)/Datos!BE18," - ")</f>
        <v>-0.46265834076717216</v>
      </c>
      <c r="J18" s="521">
        <f>IF(ISNUMBER((('Resol  Asuntos'!D18/NºAsuntos!G18)-Datos!BF18)/Datos!BF18),(('Resol  Asuntos'!D18/NºAsuntos!G18)-Datos!BF18)/Datos!BF18," - ")</f>
        <v>-0.14315789473684204</v>
      </c>
      <c r="K18" s="522">
        <f>IF(ISNUMBER((((NºAsuntos!C18+NºAsuntos!E18)/NºAsuntos!G18)-Datos!BG18)/Datos!BG18),(((NºAsuntos!C18+NºAsuntos!E18)/NºAsuntos!G18)-Datos!BG18)/Datos!BG18," - ")</f>
        <v>-6.2600089968511005E-2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0.61694915254237293</v>
      </c>
      <c r="C23" s="1152">
        <f>IF(ISNUMBER(
   IF(Criterios!B14="SI",(Datos!J23-Datos!T23)/Datos!T23,(Datos!J23+Datos!AD23-(Datos!T23+Datos!AL23))/(Datos!T23+Datos!AL23))
     ),IF(Criterios!B14="SI",(Datos!J23-Datos!T23)/Datos!T23,(Datos!J23+Datos!AD23-(Datos!T23+Datos!AL23))/(Datos!T23+Datos!AL23))," - ")</f>
        <v>7.2532324187953329E-2</v>
      </c>
      <c r="D23" s="1152">
        <f>IF(ISNUMBER(
   IF(Criterios!B14="SI",(Datos!K23-Datos!U23)/Datos!U23,(Datos!K23+Datos!AE23-(Datos!U23+Datos!AM23))/(Datos!U23+Datos!AM23))
     ),IF(Criterios!B14="SI",(Datos!K23-Datos!U23)/Datos!U23,(Datos!K23+Datos!AE23-(Datos!U23+Datos!AM23))/(Datos!U23+Datos!AM23))," - ")</f>
        <v>0.45760233918128657</v>
      </c>
      <c r="E23" s="1152">
        <f>IF(ISNUMBER(
   IF(Criterios!B14="SI",(Datos!L23-Datos!V23)/Datos!V23,(Datos!L23+Datos!AF23-(Datos!V23+Datos!AN23))/(Datos!V23+Datos!AN23))
     ),IF(Criterios!B14="SI",(Datos!L23-Datos!V23)/Datos!V23,(Datos!L23+Datos!AF23-(Datos!V23+Datos!AN23))/(Datos!V23+Datos!AN23))," - ")</f>
        <v>0.42976939203354297</v>
      </c>
      <c r="F23" s="1153">
        <f>IF(ISNUMBER((Datos!M23-Datos!W23)/Datos!W23),(Datos!M23-Datos!W23)/Datos!W23," - ")</f>
        <v>-4.3321299638989168E-2</v>
      </c>
      <c r="G23" s="1154">
        <f>IF(ISNUMBER((Datos!N23-Datos!X23)/Datos!X23),(Datos!N23-Datos!X23)/Datos!X23," - ")</f>
        <v>0.97244094488188981</v>
      </c>
      <c r="H23" s="1154">
        <f>IF(ISNUMBER(((NºAsuntos!G23/NºAsuntos!E23)-Datos!BD23)/Datos!BD23),((NºAsuntos!G23/NºAsuntos!E23)-Datos!BD23)/Datos!BD23," - ")</f>
        <v>0.35902882021283716</v>
      </c>
      <c r="I23" s="1154">
        <f>IF(ISNUMBER(((NºAsuntos!I23/NºAsuntos!G23)-Datos!BE23)/Datos!BE23),((NºAsuntos!I23/NºAsuntos!G23)-Datos!BE23)/Datos!BE23," - ")</f>
        <v>-1.9095020911791976E-2</v>
      </c>
      <c r="J23" s="1154">
        <f>IF(ISNUMBER((('Resol  Asuntos'!D23/NºAsuntos!G23)-Datos!BF23)/Datos!BF23),(('Resol  Asuntos'!D23/NºAsuntos!G23)-Datos!BF23)/Datos!BF23," - ")</f>
        <v>-0.34366275722474288</v>
      </c>
      <c r="K23" s="1154">
        <f>IF(ISNUMBER((((NºAsuntos!C23+NºAsuntos!E23)/NºAsuntos!G23)-Datos!BG23)/Datos!BG23),(((NºAsuntos!C23+NºAsuntos!E23)/NºAsuntos!G23)-Datos!BG23)/Datos!BG23," - ")</f>
        <v>-0.20558804837805086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0.38648018648018651</v>
      </c>
      <c r="C31" s="1092">
        <f>IF(ISNUMBER(
   IF(J_V="SI",(Datos!J31-Datos!T31)/Datos!T31,(Datos!J31+Datos!Z31-(Datos!T31+Datos!AH31))/(Datos!T31+Datos!AH31))
     ),IF(J_V="SI",(Datos!J31-Datos!T31)/Datos!T31,(Datos!J31+Datos!Z31-(Datos!T31+Datos!AH31))/(Datos!T31+Datos!AH31))," - ")</f>
        <v>9.4834543987086364E-2</v>
      </c>
      <c r="D31" s="1092">
        <f>IF(ISNUMBER(
   IF(J_V="SI",(Datos!K31-Datos!U31)/Datos!U31,(Datos!K31+Datos!AA31-(Datos!U31+Datos!AI31))/(Datos!U31+Datos!AI31))
     ),IF(J_V="SI",(Datos!K31-Datos!U31)/Datos!U31,(Datos!K31+Datos!AA31-(Datos!U31+Datos!AI31))/(Datos!U31+Datos!AI31))," - ")</f>
        <v>0.24496373892022563</v>
      </c>
      <c r="E31" s="1092">
        <f>IF(ISNUMBER(
   IF(J_V="SI",(Datos!L31-Datos!V31)/Datos!V31,(Datos!L31+Datos!AB31-(Datos!V31+Datos!AJ31))/(Datos!V31+Datos!AJ31))
     ),IF(J_V="SI",(Datos!L31-Datos!V31)/Datos!V31,(Datos!L31+Datos!AB31-(Datos!V31+Datos!AJ31))/(Datos!V31+Datos!AJ31))," - ")</f>
        <v>0.26597175521183591</v>
      </c>
      <c r="F31" s="1093">
        <f>IF(ISNUMBER((Datos!M31-Datos!W31)/Datos!W31),(Datos!M31-Datos!W31)/Datos!W31," - ")</f>
        <v>-5.2689352360043906E-2</v>
      </c>
      <c r="G31" s="1094">
        <f>IF(ISNUMBER((Datos!N31-Datos!X31)/Datos!X31),(Datos!N31-Datos!X31)/Datos!X31," - ")</f>
        <v>0.72575663990117356</v>
      </c>
      <c r="H31" s="1095">
        <f>IF(ISNUMBER((Tasas!B31-Datos!BD31)/Datos!BD31),(Tasas!B31-Datos!BD31)/Datos!BD31," - ")</f>
        <v>0.13712500738824882</v>
      </c>
      <c r="I31" s="1096">
        <f>IF(ISNUMBER((Tasas!C31-Datos!BE31)/Datos!BE31),(Tasas!C31-Datos!BE31)/Datos!BE31," - ")</f>
        <v>1.687440014102802E-2</v>
      </c>
      <c r="J31" s="1097">
        <f>IF(ISNUMBER((Tasas!D31-Datos!BF31)/Datos!BF31),(Tasas!D31-Datos!BF31)/Datos!BF31," - ")</f>
        <v>-0.4024199308112934</v>
      </c>
      <c r="K31" s="1097">
        <f>IF(ISNUMBER((Tasas!E31-Datos!BG31)/Datos!BG31),(Tasas!E31-Datos!BG31)/Datos!BG31," - ")</f>
        <v>-4.982615603162692E-2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GRZl0ajtqf5OKyDyuuUFdXWPq/J7zpa6NWuJLGDB8ps7pwIDZSelZGryqEV9MBETi2IpKMbcS8tadcaa/8u6Q==" saltValue="8L3pUT9kFQbNvShwYguFI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MOGUER</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0.86363636363636365</v>
      </c>
      <c r="C10" s="498">
        <f>IF(ISNUMBER(NºAsuntos!I10/NºAsuntos!G10),NºAsuntos!I10/NºAsuntos!G10," - ")</f>
        <v>0.39473684210526316</v>
      </c>
      <c r="D10" s="499">
        <f>IF(ISNUMBER('Resol  Asuntos'!D10/NºAsuntos!G10),'Resol  Asuntos'!D10/NºAsuntos!G10," - ")</f>
        <v>0.21052631578947367</v>
      </c>
      <c r="E10" s="500">
        <f>IF(ISNUMBER((NºAsuntos!C10+NºAsuntos!E10)/NºAsuntos!G10),(NºAsuntos!C10+NºAsuntos!E10)/NºAsuntos!G10," - ")</f>
        <v>1.3947368421052631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0.81070166582534076</v>
      </c>
      <c r="C12" s="498">
        <f>IF(ISNUMBER(NºAsuntos!I12/NºAsuntos!G12),NºAsuntos!I12/NºAsuntos!G12," - ")</f>
        <v>1.485678704856787</v>
      </c>
      <c r="D12" s="499">
        <f>IF(ISNUMBER('Resol  Asuntos'!D12/NºAsuntos!G12),'Resol  Asuntos'!D12/NºAsuntos!G12," - ")</f>
        <v>0.20236612702366127</v>
      </c>
      <c r="E12" s="500">
        <f>IF(ISNUMBER((NºAsuntos!C12+NºAsuntos!E12)/NºAsuntos!G12),(NºAsuntos!C12+NºAsuntos!E12)/NºAsuntos!G12," - ")</f>
        <v>2.4856787048567872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0.81185185185185182</v>
      </c>
      <c r="C14" s="1156">
        <f>IF(ISNUMBER(NºAsuntos!I14/NºAsuntos!G14),NºAsuntos!I14/NºAsuntos!G14," - ")</f>
        <v>1.4604622871046229</v>
      </c>
      <c r="D14" s="1157">
        <f>IF(ISNUMBER('Resol  Asuntos'!D14/NºAsuntos!G14),'Resol  Asuntos'!D14/NºAsuntos!G14," - ")</f>
        <v>0.20255474452554745</v>
      </c>
      <c r="E14" s="1158">
        <f>IF(ISNUMBER((NºAsuntos!C14+NºAsuntos!E14)/NºAsuntos!G14),(NºAsuntos!C14+NºAsuntos!E14)/NºAsuntos!G14," - ")</f>
        <v>2.4604622871046229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0.85345997286295794</v>
      </c>
      <c r="C17" s="498">
        <f>IF(ISNUMBER(NºAsuntos!I17/NºAsuntos!G17),NºAsuntos!I17/NºAsuntos!G17," - ")</f>
        <v>0.52742448330683622</v>
      </c>
      <c r="D17" s="499">
        <f>IF(ISNUMBER('Resol  Asuntos'!D17/NºAsuntos!G17),'Resol  Asuntos'!D17/NºAsuntos!G17," - ")</f>
        <v>0.18044515103338632</v>
      </c>
      <c r="E17" s="500">
        <f>IF(ISNUMBER((NºAsuntos!C17+NºAsuntos!E17)/NºAsuntos!G17),(NºAsuntos!C17+NºAsuntos!E17)/NºAsuntos!G17," - ")</f>
        <v>1.5274244833068362</v>
      </c>
      <c r="G17" s="523"/>
    </row>
    <row r="18" spans="1:7">
      <c r="A18" s="450" t="str">
        <f>Datos!A18</f>
        <v>Jdos. Violencia contra la mujer</v>
      </c>
      <c r="B18" s="497">
        <f>IF(ISNUMBER(NºAsuntos!G18/NºAsuntos!E18),NºAsuntos!G18/NºAsuntos!E18," - ")</f>
        <v>1.0485651214128036</v>
      </c>
      <c r="C18" s="498">
        <f>IF(ISNUMBER(NºAsuntos!I18/NºAsuntos!G18),NºAsuntos!I18/NºAsuntos!G18," - ")</f>
        <v>7.7894736842105267E-2</v>
      </c>
      <c r="D18" s="499">
        <f>IF(ISNUMBER('Resol  Asuntos'!D18/NºAsuntos!G18),'Resol  Asuntos'!D18/NºAsuntos!G18," - ")</f>
        <v>0.16</v>
      </c>
      <c r="E18" s="500">
        <f>IF(ISNUMBER((NºAsuntos!C18+NºAsuntos!E18)/NºAsuntos!G18),(NºAsuntos!C18+NºAsuntos!E18)/NºAsuntos!G18," - ")</f>
        <v>1.0778947368421052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0.87944722140546894</v>
      </c>
      <c r="C23" s="1156">
        <f>IF(ISNUMBER(NºAsuntos!I23/NºAsuntos!G23),NºAsuntos!I23/NºAsuntos!G23," - ")</f>
        <v>0.45603477097960549</v>
      </c>
      <c r="D23" s="1159">
        <f>IF(ISNUMBER('Resol  Asuntos'!D23/NºAsuntos!G23),'Resol  Asuntos'!D23/NºAsuntos!G23," - ")</f>
        <v>0.17719826145101972</v>
      </c>
      <c r="E23" s="1158">
        <f>IF(ISNUMBER((NºAsuntos!C23+NºAsuntos!E23)/NºAsuntos!G23),(NºAsuntos!C23+NºAsuntos!E23)/NºAsuntos!G23," - ")</f>
        <v>1.4560347709796055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0.85422042019904165</v>
      </c>
      <c r="C31" s="1099">
        <f>IF(ISNUMBER(NºAsuntos!I31/NºAsuntos!G31),NºAsuntos!I31/NºAsuntos!G31," - ")</f>
        <v>0.81229773462783172</v>
      </c>
      <c r="D31" s="1100">
        <f>IF(ISNUMBER('Resol  Asuntos'!D31/NºAsuntos!G31),'Resol  Asuntos'!D31/NºAsuntos!G31," - ")</f>
        <v>0.18619201725997842</v>
      </c>
      <c r="E31" s="1101">
        <f>IF(ISNUMBER((NºAsuntos!C31+NºAsuntos!E31)/NºAsuntos!G31),(NºAsuntos!C31+NºAsuntos!E31)/NºAsuntos!G31," - ")</f>
        <v>1.8122977346278317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m/YFsaMudXCwAag4G+OIyEwmig/o0Fuwp8IL8FJQnsQ6u5k7VijOng1fwfkYJhMOcBBEN43rqxkYwUZqINKxw==" saltValue="xAUxSB+Gm8gWifElpklV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MOGUER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6</v>
      </c>
      <c r="Y10" s="374">
        <f t="shared" ref="Y10:Y13" si="0">SUM(W10:X10)</f>
        <v>44</v>
      </c>
      <c r="Z10" s="375" t="str">
        <f>IF(ISNUMBER(Datos!CC10),Datos!CC10," - ")</f>
        <v xml:space="preserve"> - </v>
      </c>
      <c r="AA10" s="372">
        <f>IF(ISNUMBER(Datos!L10),Datos!L10,"-")</f>
        <v>15</v>
      </c>
      <c r="AB10" s="374">
        <f>IF(ISNUMBER(Datos!R10),Datos!R10," - ")</f>
        <v>5</v>
      </c>
      <c r="AC10" s="374">
        <f t="shared" ref="AC10:AC13" si="1">IF(ISNUMBER(AA10+AB10),AA10+AB10," - ")</f>
        <v>20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0.86363636363636365</v>
      </c>
      <c r="AM10" s="284">
        <f>IF(ISNUMBER(((NºAsuntos!I10/NºAsuntos!G10)*11)/factor_trimestre),((NºAsuntos!I10/NºAsuntos!G10)*11)/factor_trimestre," - ")</f>
        <v>4.3421052631578947</v>
      </c>
      <c r="AN10" s="267">
        <f>IF(ISNUMBER('Resol  Asuntos'!D10/NºAsuntos!G10),'Resol  Asuntos'!D10/NºAsuntos!G10," - ")</f>
        <v>0.21052631578947367</v>
      </c>
      <c r="AO10" s="268">
        <f>IF(ISNUMBER((NºAsuntos!C10+NºAsuntos!E10)/NºAsuntos!G10),(NºAsuntos!C10+NºAsuntos!E10)/NºAsuntos!G10," - ")</f>
        <v>1.3947368421052631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292</v>
      </c>
      <c r="Y12" s="374">
        <f t="shared" si="0"/>
        <v>292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2125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325</v>
      </c>
      <c r="AJ12" s="243" t="str">
        <f>IF(ISNUMBER(Datos!BW12),Datos!BW12," - ")</f>
        <v xml:space="preserve"> - </v>
      </c>
      <c r="AK12" s="242" t="str">
        <f>IF(ISNUMBER(Datos!BX12),Datos!BX12," - ")</f>
        <v xml:space="preserve"> - </v>
      </c>
      <c r="AL12" s="266">
        <f>IF(ISNUMBER(NºAsuntos!G12/NºAsuntos!E12),NºAsuntos!G12/NºAsuntos!E12," - ")</f>
        <v>0.81070166582534076</v>
      </c>
      <c r="AM12" s="284">
        <f>IF(ISNUMBER(((NºAsuntos!I12/NºAsuntos!G12)*11)/factor_trimestre),((NºAsuntos!I12/NºAsuntos!G12)*11)/factor_trimestre," - ")</f>
        <v>16.342465753424658</v>
      </c>
      <c r="AN12" s="267">
        <f>IF(ISNUMBER('Resol  Asuntos'!D12/NºAsuntos!G12),'Resol  Asuntos'!D12/NºAsuntos!G12," - ")</f>
        <v>0.20236612702366127</v>
      </c>
      <c r="AO12" s="268">
        <f>IF(ISNUMBER((NºAsuntos!C12+NºAsuntos!E12)/NºAsuntos!G12),(NºAsuntos!C12+NºAsuntos!E12)/NºAsuntos!G12," - ")</f>
        <v>2.4856787048567872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337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298</v>
      </c>
      <c r="Y14" s="1165">
        <f t="shared" si="6"/>
        <v>336</v>
      </c>
      <c r="Z14" s="1165">
        <f t="shared" si="6"/>
        <v>0</v>
      </c>
      <c r="AA14" s="1165">
        <f t="shared" si="6"/>
        <v>15</v>
      </c>
      <c r="AB14" s="1165">
        <f t="shared" si="6"/>
        <v>2130</v>
      </c>
      <c r="AC14" s="1165">
        <f t="shared" si="6"/>
        <v>20</v>
      </c>
      <c r="AD14" s="1165">
        <f t="shared" si="6"/>
        <v>0</v>
      </c>
      <c r="AE14" s="1169">
        <f t="shared" si="6"/>
        <v>0</v>
      </c>
      <c r="AF14" s="1162">
        <f t="shared" si="6"/>
        <v>0</v>
      </c>
      <c r="AG14" s="1170">
        <f t="shared" si="6"/>
        <v>0</v>
      </c>
      <c r="AH14" s="1167">
        <f t="shared" si="6"/>
        <v>0</v>
      </c>
      <c r="AI14" s="1162">
        <f t="shared" si="6"/>
        <v>333</v>
      </c>
      <c r="AJ14" s="1164">
        <f t="shared" si="6"/>
        <v>0</v>
      </c>
      <c r="AK14" s="1167">
        <f>SUBTOTAL(9,AK9:AK13)</f>
        <v>0</v>
      </c>
      <c r="AL14" s="1171">
        <f>IF(ISNUMBER(NºAsuntos!G14/NºAsuntos!E14),NºAsuntos!G14/NºAsuntos!E14," - ")</f>
        <v>0.81185185185185182</v>
      </c>
      <c r="AM14" s="1171">
        <f>IF(ISNUMBER(((NºAsuntos!I14/NºAsuntos!G14)*11)/factor_trimestre),((NºAsuntos!I14/NºAsuntos!G14)*11)/factor_trimestre," - ")</f>
        <v>16.06508515815085</v>
      </c>
      <c r="AN14" s="1172">
        <f>IF(ISNUMBER('Resol  Asuntos'!D14/NºAsuntos!G14),'Resol  Asuntos'!D14/NºAsuntos!G14," - ")</f>
        <v>0.20255474452554745</v>
      </c>
      <c r="AO14" s="1173">
        <f>IF(ISNUMBER((NºAsuntos!C14+NºAsuntos!E14)/NºAsuntos!G14),(NºAsuntos!C14+NºAsuntos!E14)/NºAsuntos!G14," - ")</f>
        <v>2.4604622871046229</v>
      </c>
      <c r="AP14" s="1174" t="str">
        <f t="shared" si="2"/>
        <v xml:space="preserve"> - </v>
      </c>
      <c r="AQ14" s="1174">
        <f>IF(ISNUMBER((H14-W14+K14)/(F14)),(H14-W14+K14)/(F14)," - ")</f>
        <v>-4.2222222222222223</v>
      </c>
      <c r="AR14" s="1175">
        <f>IF(ISNUMBER((Datos!P14-Datos!Q14)/(Datos!R14-Datos!P14+Datos!Q14)),(Datos!P14-Datos!Q14)/(Datos!R14-Datos!P14+Datos!Q14)," - ")</f>
        <v>1.8651362984218076E-2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895</v>
      </c>
      <c r="G17" s="373">
        <f>IF(ISNUMBER(IF(D_I="SI",Datos!I17,Datos!I17+Datos!AC17)),IF(D_I="SI",Datos!I17,Datos!I17+Datos!AC17)," - ")</f>
        <v>895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2516</v>
      </c>
      <c r="X17" s="240">
        <f>IF(ISNUMBER(Datos!Q17),Datos!Q17," - ")</f>
        <v>69</v>
      </c>
      <c r="Y17" s="374">
        <f t="shared" ref="Y17:Y22" si="9">SUM(W17:X17)</f>
        <v>2585</v>
      </c>
      <c r="Z17" s="375" t="str">
        <f>IF(ISNUMBER(Datos!CC17),Datos!CC17," - ")</f>
        <v xml:space="preserve"> - </v>
      </c>
      <c r="AA17" s="372">
        <f>IF(ISNUMBER(IF(D_I="SI",Datos!L17,Datos!L17+Datos!AF17)),IF(D_I="SI",Datos!L17,Datos!L17+Datos!AF17)," - ")</f>
        <v>1327</v>
      </c>
      <c r="AB17" s="374">
        <f>IF(ISNUMBER(Datos!R17),Datos!R17," - ")</f>
        <v>87</v>
      </c>
      <c r="AC17" s="374">
        <f t="shared" si="8"/>
        <v>1414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454</v>
      </c>
      <c r="AJ17" s="245" t="str">
        <f>IF(ISNUMBER(Datos!BW17),Datos!BW17," - ")</f>
        <v xml:space="preserve"> - </v>
      </c>
      <c r="AK17" s="246" t="str">
        <f>IF(ISNUMBER(Datos!BX17),Datos!BX17," - ")</f>
        <v xml:space="preserve"> - </v>
      </c>
      <c r="AL17" s="266">
        <f>IF(ISNUMBER(NºAsuntos!G17/NºAsuntos!E17),NºAsuntos!G17/NºAsuntos!E17," - ")</f>
        <v>0.85345997286295794</v>
      </c>
      <c r="AM17" s="284">
        <f>IF(ISNUMBER(((NºAsuntos!I17/NºAsuntos!G17)*11)/factor_trimestre),((NºAsuntos!I17/NºAsuntos!G17)*11)/factor_trimestre," - ")</f>
        <v>5.8016693163751984</v>
      </c>
      <c r="AN17" s="267">
        <f>IF(ISNUMBER('Resol  Asuntos'!D17/NºAsuntos!G17),'Resol  Asuntos'!D17/NºAsuntos!G17," - ")</f>
        <v>0.18044515103338632</v>
      </c>
      <c r="AO17" s="268">
        <f>IF(ISNUMBER((NºAsuntos!C17+NºAsuntos!E17)/NºAsuntos!G17),(NºAsuntos!C17+NºAsuntos!E17)/NºAsuntos!G17," - ")</f>
        <v>1.5274244833068362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475</v>
      </c>
      <c r="X18" s="240">
        <f>IF(ISNUMBER(Datos!Q18),Datos!Q18," - ")</f>
        <v>3</v>
      </c>
      <c r="Y18" s="374">
        <f t="shared" si="9"/>
        <v>478</v>
      </c>
      <c r="Z18" s="375" t="str">
        <f>IF(ISNUMBER(Datos!CC18),Datos!CC18," - ")</f>
        <v xml:space="preserve"> - </v>
      </c>
      <c r="AA18" s="372">
        <f>IF(ISNUMBER(Datos!L18),Datos!L18,"-")</f>
        <v>37</v>
      </c>
      <c r="AB18" s="374">
        <f>IF(ISNUMBER(Datos!R18),Datos!R18," - ")</f>
        <v>2</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76</v>
      </c>
      <c r="AJ18" s="245" t="str">
        <f>IF(ISNUMBER(Datos!BW18),Datos!BW18," - ")</f>
        <v xml:space="preserve"> - </v>
      </c>
      <c r="AK18" s="246" t="str">
        <f>IF(ISNUMBER(Datos!BX18),Datos!BX18," - ")</f>
        <v xml:space="preserve"> - </v>
      </c>
      <c r="AL18" s="266">
        <f>IF(ISNUMBER(NºAsuntos!G18/NºAsuntos!E18),NºAsuntos!G18/NºAsuntos!E18," - ")</f>
        <v>1.0485651214128036</v>
      </c>
      <c r="AM18" s="284">
        <f>IF(ISNUMBER(((NºAsuntos!I18/NºAsuntos!G18)*11)/factor_trimestre),((NºAsuntos!I18/NºAsuntos!G18)*11)/factor_trimestre," - ")</f>
        <v>0.85684210526315796</v>
      </c>
      <c r="AN18" s="267">
        <f>IF(ISNUMBER('Resol  Asuntos'!D18/NºAsuntos!G18),'Resol  Asuntos'!D18/NºAsuntos!G18," - ")</f>
        <v>0.16</v>
      </c>
      <c r="AO18" s="268">
        <f>IF(ISNUMBER((NºAsuntos!C18+NºAsuntos!E18)/NºAsuntos!G18),(NºAsuntos!C18+NºAsuntos!E18)/NºAsuntos!G18," - ")</f>
        <v>1.0778947368421052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895</v>
      </c>
      <c r="G23" s="1163">
        <f>SUBTOTAL(9,G16:G22)</f>
        <v>954</v>
      </c>
      <c r="H23" s="1162">
        <f t="shared" ref="H23:O23" si="13">SUBTOTAL(9,H15:H22)</f>
        <v>0</v>
      </c>
      <c r="I23" s="1164">
        <f t="shared" si="13"/>
        <v>0</v>
      </c>
      <c r="J23" s="1164">
        <f t="shared" si="13"/>
        <v>0</v>
      </c>
      <c r="K23" s="1164">
        <f t="shared" si="13"/>
        <v>0</v>
      </c>
      <c r="L23" s="1164">
        <f t="shared" si="13"/>
        <v>71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2991</v>
      </c>
      <c r="X23" s="1164">
        <f t="shared" si="14"/>
        <v>72</v>
      </c>
      <c r="Y23" s="1165">
        <f t="shared" si="14"/>
        <v>3063</v>
      </c>
      <c r="Z23" s="1165">
        <f t="shared" si="14"/>
        <v>0</v>
      </c>
      <c r="AA23" s="1165">
        <f t="shared" si="14"/>
        <v>1364</v>
      </c>
      <c r="AB23" s="1165">
        <f t="shared" si="14"/>
        <v>89</v>
      </c>
      <c r="AC23" s="1165">
        <f t="shared" si="14"/>
        <v>1453</v>
      </c>
      <c r="AD23" s="1165">
        <f t="shared" si="14"/>
        <v>0</v>
      </c>
      <c r="AE23" s="1169">
        <f t="shared" si="14"/>
        <v>0</v>
      </c>
      <c r="AF23" s="1162">
        <f t="shared" si="14"/>
        <v>0</v>
      </c>
      <c r="AG23" s="1170">
        <f t="shared" si="14"/>
        <v>0</v>
      </c>
      <c r="AH23" s="1167">
        <f t="shared" si="14"/>
        <v>0</v>
      </c>
      <c r="AI23" s="1162">
        <f t="shared" si="14"/>
        <v>530</v>
      </c>
      <c r="AJ23" s="1164">
        <f t="shared" si="14"/>
        <v>0</v>
      </c>
      <c r="AK23" s="1167">
        <f t="shared" si="14"/>
        <v>0</v>
      </c>
      <c r="AL23" s="1171">
        <f>IF(ISNUMBER(NºAsuntos!G23/NºAsuntos!E23),NºAsuntos!G23/NºAsuntos!E23," - ")</f>
        <v>0.87944722140546894</v>
      </c>
      <c r="AM23" s="1171">
        <f>IF(ISNUMBER(((NºAsuntos!I23/NºAsuntos!G23)*11)/factor_trimestre),((NºAsuntos!I23/NºAsuntos!G23)*11)/factor_trimestre," - ")</f>
        <v>5.0163824807756603</v>
      </c>
      <c r="AN23" s="1172">
        <f>IF(ISNUMBER('Resol  Asuntos'!D23/NºAsuntos!G23),'Resol  Asuntos'!D23/NºAsuntos!G23," - ")</f>
        <v>0.17719826145101972</v>
      </c>
      <c r="AO23" s="1173">
        <f>IF(ISNUMBER((NºAsuntos!C23+NºAsuntos!E23)/NºAsuntos!G23),(NºAsuntos!C23+NºAsuntos!E23)/NºAsuntos!G23," - ")</f>
        <v>1.4560347709796055</v>
      </c>
      <c r="AP23" s="1174" t="str">
        <f t="shared" si="2"/>
        <v xml:space="preserve"> - </v>
      </c>
      <c r="AQ23" s="1174">
        <f>IF(ISNUMBER((H23-W23+K23)/(F23)),(H23-W23+K23)/(F23)," - ")</f>
        <v>-3.3418994413407823</v>
      </c>
      <c r="AR23" s="1175">
        <f>IF(ISNUMBER((Datos!P23-Datos!Q23)/(Datos!R23-Datos!P23+Datos!Q23)),(Datos!P23-Datos!Q23)/(Datos!R23-Datos!P23+Datos!Q23)," - ")</f>
        <v>-1.1111111111111112E-2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904</v>
      </c>
      <c r="G31" s="1118">
        <f t="shared" si="20"/>
        <v>963</v>
      </c>
      <c r="H31" s="1117">
        <f t="shared" si="20"/>
        <v>0</v>
      </c>
      <c r="I31" s="1119">
        <f t="shared" si="20"/>
        <v>0</v>
      </c>
      <c r="J31" s="1119">
        <f t="shared" si="20"/>
        <v>0</v>
      </c>
      <c r="K31" s="1180">
        <f t="shared" si="20"/>
        <v>0</v>
      </c>
      <c r="L31" s="1119">
        <f t="shared" si="20"/>
        <v>408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3029</v>
      </c>
      <c r="X31" s="1118">
        <f t="shared" si="21"/>
        <v>370</v>
      </c>
      <c r="Y31" s="1125">
        <f t="shared" si="21"/>
        <v>3399</v>
      </c>
      <c r="Z31" s="1125">
        <f t="shared" si="21"/>
        <v>0</v>
      </c>
      <c r="AA31" s="1125">
        <f t="shared" si="21"/>
        <v>1379</v>
      </c>
      <c r="AB31" s="1125">
        <f t="shared" si="21"/>
        <v>2219</v>
      </c>
      <c r="AC31" s="1125">
        <f t="shared" si="21"/>
        <v>1473</v>
      </c>
      <c r="AD31" s="1125">
        <f t="shared" si="21"/>
        <v>0</v>
      </c>
      <c r="AE31" s="1127">
        <f t="shared" si="21"/>
        <v>0</v>
      </c>
      <c r="AF31" s="1128">
        <f t="shared" si="21"/>
        <v>0</v>
      </c>
      <c r="AG31" s="1129">
        <f t="shared" si="21"/>
        <v>0</v>
      </c>
      <c r="AH31" s="1127">
        <f t="shared" si="21"/>
        <v>0</v>
      </c>
      <c r="AI31" s="1117">
        <f t="shared" si="21"/>
        <v>863</v>
      </c>
      <c r="AJ31" s="1117">
        <f t="shared" si="21"/>
        <v>0</v>
      </c>
      <c r="AK31" s="1127">
        <f t="shared" si="21"/>
        <v>0</v>
      </c>
      <c r="AL31" s="1183">
        <f>IF(ISNUMBER(NºAsuntos!G31/NºAsuntos!E31),NºAsuntos!G31/NºAsuntos!E31," - ")</f>
        <v>0.85422042019904165</v>
      </c>
      <c r="AM31" s="1184">
        <f>IF(ISNUMBER(((NºAsuntos!I31/NºAsuntos!G31)*11)/factor_trimestre),((NºAsuntos!I31/NºAsuntos!G31)*11)/factor_trimestre," - ")</f>
        <v>8.9352750809061483</v>
      </c>
      <c r="AN31" s="1184">
        <f>IF(ISNUMBER('Resol  Asuntos'!D31/NºAsuntos!G31),'Resol  Asuntos'!D31/NºAsuntos!G31," - ")</f>
        <v>0.18619201725997842</v>
      </c>
      <c r="AO31" s="1185">
        <f>IF(ISNUMBER((NºAsuntos!C31+NºAsuntos!E31)/NºAsuntos!G31),(NºAsuntos!C31+NºAsuntos!E31)/NºAsuntos!G31," - ")</f>
        <v>1.8122977346278317</v>
      </c>
      <c r="AP31" s="1186" t="str">
        <f t="shared" si="2"/>
        <v xml:space="preserve"> - </v>
      </c>
      <c r="AQ31" s="1187">
        <f>IF(OR(ISNUMBER(FIND("01",Criterios!A8,1)),ISNUMBER(FIND("02",Criterios!A8,1)),ISNUMBER(FIND("03",Criterios!A8,1)),ISNUMBER(FIND("04",Criterios!A8,1))),(I31-W31+K31)/(F31-K31),(H31-W31+K31)/(F31-K31))</f>
        <v>-3.3506637168141591</v>
      </c>
      <c r="AR31" s="1188">
        <f>IF(ISNUMBER((Datos!P31-Datos!Q31)/(Datos!R31-Datos!P31+Datos!Q31)),(Datos!P31-Datos!Q31)/(Datos!R31-Datos!P31+Datos!Q31)," - ")</f>
        <v>1.7423200366804219E-2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275.14285714285717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459.86983665670732</v>
      </c>
      <c r="G33" s="277">
        <f>IF(ISNUMBER(STDEV(G8:G30)),STDEV(G8:G30),"-")</f>
        <v>444.38325372416568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1307.802464332548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219.41008571687337</v>
      </c>
      <c r="AJ33" s="276">
        <f t="shared" si="25"/>
        <v>0</v>
      </c>
      <c r="AK33" s="278">
        <f t="shared" si="25"/>
        <v>0</v>
      </c>
      <c r="AL33" s="273">
        <f t="shared" si="25"/>
        <v>8.8099609921349228E-2</v>
      </c>
      <c r="AM33" s="274">
        <f t="shared" si="25"/>
        <v>6.5230640485051419</v>
      </c>
      <c r="AN33" s="274">
        <f t="shared" si="25"/>
        <v>1.9386053549257591E-2</v>
      </c>
      <c r="AO33" s="275">
        <f t="shared" si="25"/>
        <v>0.5930058225913768</v>
      </c>
      <c r="AP33" s="317" t="str">
        <f t="shared" si="25"/>
        <v>-</v>
      </c>
      <c r="AQ33" s="318">
        <f t="shared" si="25"/>
        <v>0.62248220799426435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wZQ/SuXt3qLXYYDJeFbFabzSS/2scn8cZm5i/hgSrL53rPzJkWNpx0k2HlAv4pIazqE8zP6xzxVittD8V52+Q==" saltValue="/txU/peF7QZEsOJh5jzj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MOGUER</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7.3170731707317069E-2</v>
      </c>
      <c r="F10" s="393">
        <f>IF(ISNUMBER((Datos!K10-Datos!U10)/Datos!U10),(Datos!K10-Datos!U10)/Datos!U10," - ")</f>
        <v>-9.5238095238095233E-2</v>
      </c>
      <c r="G10" s="394">
        <f>IF(ISNUMBER((Datos!L10-Datos!V10)/Datos!V10),(Datos!L10-Datos!V10)/Datos!V10," - ")</f>
        <v>0.66666666666666663</v>
      </c>
      <c r="H10" s="244">
        <f>IF(ISNUMBER((Datos!M10-Datos!W10)/Datos!W10),(Datos!M10-Datos!W10)/Datos!W10," - ")</f>
        <v>-0.57894736842105265</v>
      </c>
      <c r="I10" s="395">
        <f>IF(ISNUMBER((Tasas!C10-Datos!BE10)/Datos!BE10),(Tasas!C10-Datos!BE10)/Datos!BE10," - ")</f>
        <v>0.84210526315789491</v>
      </c>
      <c r="J10" s="394">
        <f>IF(ISNUMBER((Tasas!D10-Datos!BF10)/Datos!BF10),(Tasas!D10-Datos!BF10)/Datos!BF10," - ")</f>
        <v>-0.53462603878116344</v>
      </c>
      <c r="K10" s="396">
        <f>IF(ISNUMBER((Tasas!E10-Datos!BG10)/Datos!BG10),(Tasas!E10-Datos!BG10)/Datos!BG10," - ")</f>
        <v>0.14860681114551083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-3.8461538461538464E-2</v>
      </c>
      <c r="I12" s="395">
        <f>IF(ISNUMBER((Tasas!C12-Datos!BE12)/Datos!BE12),(Tasas!C12-Datos!BE12)/Datos!BE12," - ")</f>
        <v>0.2034662407815544</v>
      </c>
      <c r="J12" s="394">
        <f>IF(ISNUMBER((Tasas!D12-Datos!BF12)/Datos!BF12),(Tasas!D12-Datos!BF12)/Datos!BF12," - ")</f>
        <v>-0.4384081415305891</v>
      </c>
      <c r="K12" s="396">
        <f>IF(ISNUMBER((Tasas!E12-Datos!BG12)/Datos!BG12),(Tasas!E12-Datos!BG12)/Datos!BG12," - ")</f>
        <v>0.2311251475256024</v>
      </c>
      <c r="M12" t="e">
        <f>IF(Monitorios="SI",Datos!CE12,0)</f>
        <v>#REF!</v>
      </c>
      <c r="N12" t="e">
        <f>IF(Monitorios="SI",Datos!CF12,0)</f>
        <v>#REF!</v>
      </c>
      <c r="O12" t="e">
        <f>IF(Monitorios="SI",Datos!CG12,0)</f>
        <v>#REF!</v>
      </c>
      <c r="P12" t="e">
        <f>IF(Monitorios="SI",Datos!CH12,0)</f>
        <v>#REF!</v>
      </c>
      <c r="Q12">
        <f>IF(J_V="SI",0,Datos!AG12)</f>
        <v>44</v>
      </c>
      <c r="R12">
        <f>IF(J_V="SI",0,Datos!AH12)</f>
        <v>95</v>
      </c>
      <c r="S12">
        <f>IF(J_V="SI",0,Datos!AI12)</f>
        <v>103</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-6.7226890756302518E-2</v>
      </c>
      <c r="I14" s="402">
        <f>IF(ISNUMBER((Tasas!C14-Datos!BE14)/Datos!BE14),(Tasas!C14-Datos!BE14)/Datos!BE14," - ")</f>
        <v>0.20813489195634891</v>
      </c>
      <c r="J14" s="400">
        <f>IF(ISNUMBER((Tasas!D14-Datos!BF14)/Datos!BF14),(Tasas!D14-Datos!BF14)/Datos!BF14," - ")</f>
        <v>-0.44147033316470335</v>
      </c>
      <c r="K14" s="403">
        <f>IF(ISNUMBER((Tasas!E14-Datos!BG14)/Datos!BG14),(Tasas!E14-Datos!BG14)/Datos!BG14," - ")</f>
        <v>0.23096780890773194</v>
      </c>
      <c r="M14" t="e">
        <f>IF(Monitorios="SI",Datos!CE14,0)</f>
        <v>#REF!</v>
      </c>
      <c r="N14" t="e">
        <f>IF(Monitorios="SI",Datos!CF14,0)</f>
        <v>#REF!</v>
      </c>
      <c r="O14" t="e">
        <f>IF(Monitorios="SI",Datos!CG14,0)</f>
        <v>#REF!</v>
      </c>
      <c r="P14" t="e">
        <f>IF(Monitorios="SI",Datos!CH14,0)</f>
        <v>#REF!</v>
      </c>
      <c r="Q14">
        <f>IF(J_V="SI",0,Datos!AG14)</f>
        <v>44</v>
      </c>
      <c r="R14">
        <f>IF(J_V="SI",0,Datos!AH14)</f>
        <v>95</v>
      </c>
      <c r="S14">
        <f>IF(J_V="SI",0,Datos!AI14)</f>
        <v>103</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0.66666666666666663</v>
      </c>
      <c r="E17" s="393">
        <f>IF(ISNUMBER(
   IF(D_I="SI",(Datos!J17-Datos!T17)/Datos!T17,(Datos!J17+Datos!AD17-(Datos!T17+Datos!AL17))/(Datos!T17+Datos!AL17))
     ),IF(D_I="SI",(Datos!J17-Datos!T17)/Datos!T17,(Datos!J17+Datos!AD17-(Datos!T17+Datos!AL17))/(Datos!T17+Datos!AL17))," - ")</f>
        <v>6.966618287373004E-2</v>
      </c>
      <c r="F17" s="393">
        <f>IF(ISNUMBER(
   IF(D_I="SI",(Datos!K17-Datos!U17)/Datos!U17,(Datos!K17+Datos!AE17-(Datos!U17+Datos!AM17))/(Datos!U17+Datos!AM17))
     ),IF(D_I="SI",(Datos!K17-Datos!U17)/Datos!U17,(Datos!K17+Datos!AE17-(Datos!U17+Datos!AM17))/(Datos!U17+Datos!AM17))," - ")</f>
        <v>0.52948328267477207</v>
      </c>
      <c r="G17" s="394">
        <f>IF(ISNUMBER(
   IF(D_I="SI",(Datos!L17-Datos!V17)/Datos!V17,(Datos!L17+Datos!AF17-(Datos!V17+Datos!AN17))/(Datos!V17+Datos!AN17))
     ),IF(D_I="SI",(Datos!L17-Datos!V17)/Datos!V17,(Datos!L17+Datos!AF17-(Datos!V17+Datos!AN17))/(Datos!V17+Datos!AN17))," - ")</f>
        <v>0.48268156424581005</v>
      </c>
      <c r="H17" s="244">
        <f>IF(ISNUMBER((Datos!M17-Datos!W17)/Datos!W17),(Datos!M17-Datos!W17)/Datos!W17," - ")</f>
        <v>-5.0209205020920501E-2</v>
      </c>
      <c r="I17" s="395">
        <f>IF(ISNUMBER((Tasas!C17-Datos!BE17)/Datos!BE17),(Tasas!C17-Datos!BE17)/Datos!BE17," - ")</f>
        <v>-3.0599692693021676E-2</v>
      </c>
      <c r="J17" s="394">
        <f>IF(ISNUMBER((Tasas!D17-Datos!BF17)/Datos!BF17),(Tasas!D17-Datos!BF17)/Datos!BF17," - ")</f>
        <v>-0.37901198023029187</v>
      </c>
      <c r="K17" s="396">
        <f>IF(ISNUMBER((Tasas!E17-Datos!BG17)/Datos!BG17),(Tasas!E17-Datos!BG17)/Datos!BG17," - ")</f>
        <v>-0.23698351805656073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0.11320754716981132</v>
      </c>
      <c r="E18" s="393">
        <f>IF(ISNUMBER(
   IF(D_I="SI",(Datos!J18-Datos!T18)/Datos!T18,(Datos!J18+Datos!AD18-(Datos!T18+Datos!AL18))/(Datos!T18+Datos!AL18))
     ),IF(D_I="SI",(Datos!J18-Datos!T18)/Datos!T18,(Datos!J18+Datos!AD18-(Datos!T18+Datos!AL18))/(Datos!T18+Datos!AL18))," - ")</f>
        <v>9.1566265060240959E-2</v>
      </c>
      <c r="F18" s="393">
        <f>IF(ISNUMBER(
   IF(D_I="SI",(Datos!K18-Datos!U18)/Datos!U18,(Datos!K18+Datos!AE18-(Datos!U18+Datos!AM18))/(Datos!U18+Datos!AM18))
     ),IF(D_I="SI",(Datos!K18-Datos!U18)/Datos!U18,(Datos!K18+Datos!AE18-(Datos!U18+Datos!AM18))/(Datos!U18+Datos!AM18))," - ")</f>
        <v>0.16707616707616707</v>
      </c>
      <c r="G18" s="394">
        <f>IF(ISNUMBER(
   IF(D_I="SI",(Datos!L18-Datos!V18)/Datos!V18,(Datos!L18+Datos!AF18-(Datos!V18+Datos!AN18))/(Datos!V18+Datos!AN18))
     ),IF(D_I="SI",(Datos!L18-Datos!V18)/Datos!V18,(Datos!L18+Datos!AF18-(Datos!V18+Datos!AN18))/(Datos!V18+Datos!AN18))," - ")</f>
        <v>-0.3728813559322034</v>
      </c>
      <c r="H18" s="244">
        <f>IF(ISNUMBER((Datos!M18-Datos!W18)/Datos!W18),(Datos!M18-Datos!W18)/Datos!W18," - ")</f>
        <v>0</v>
      </c>
      <c r="I18" s="395">
        <f>IF(ISNUMBER((Tasas!C18-Datos!BE18)/Datos!BE18),(Tasas!C18-Datos!BE18)/Datos!BE18," - ")</f>
        <v>-0.46265834076717216</v>
      </c>
      <c r="J18" s="394">
        <f>IF(ISNUMBER((Tasas!D18-Datos!BF18)/Datos!BF18),(Tasas!D18-Datos!BF18)/Datos!BF18," - ")</f>
        <v>-0.14315789473684204</v>
      </c>
      <c r="K18" s="396">
        <f>IF(ISNUMBER((Tasas!E18-Datos!BG18)/Datos!BG18),(Tasas!E18-Datos!BG18)/Datos!BG18," - ")</f>
        <v>-6.2600089968511005E-2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0.61694915254237293</v>
      </c>
      <c r="E23" s="399">
        <f>IF(ISNUMBER(
   IF(D_I="SI",(Datos!J23-Datos!T23)/Datos!T23,(Datos!J23+Datos!AD23-(Datos!T23+Datos!AL23))/(Datos!T23+Datos!AL23))
     ),IF(D_I="SI",(Datos!J23-Datos!T23)/Datos!T23,(Datos!J23+Datos!AD23-(Datos!T23+Datos!AL23))/(Datos!T23+Datos!AL23))," - ")</f>
        <v>7.2532324187953329E-2</v>
      </c>
      <c r="F23" s="399">
        <f>IF(ISNUMBER(
   IF(D_I="SI",(Datos!K23-Datos!U23)/Datos!U23,(Datos!K23+Datos!AE23-(Datos!U23+Datos!AM23))/(Datos!U23+Datos!AM23))
     ),IF(D_I="SI",(Datos!K23-Datos!U23)/Datos!U23,(Datos!K23+Datos!AE23-(Datos!U23+Datos!AM23))/(Datos!U23+Datos!AM23))," - ")</f>
        <v>0.45760233918128657</v>
      </c>
      <c r="G23" s="400">
        <f>IF(ISNUMBER(
   IF(D_I="SI",(Datos!L23-Datos!V23)/Datos!V23,(Datos!L23+Datos!AF23-(Datos!V23+Datos!AN23))/(Datos!V23+Datos!AN23))
     ),IF(D_I="SI",(Datos!L23-Datos!V23)/Datos!V23,(Datos!L23+Datos!AF23-(Datos!V23+Datos!AN23))/(Datos!V23+Datos!AN23))," - ")</f>
        <v>0.42976939203354297</v>
      </c>
      <c r="H23" s="401">
        <f>IF(ISNUMBER((Datos!M23-Datos!W23)/Datos!W23),(Datos!M23-Datos!W23)/Datos!W23," - ")</f>
        <v>-4.3321299638989168E-2</v>
      </c>
      <c r="I23" s="402">
        <f>IF(ISNUMBER((Tasas!C23-Datos!BE23)/Datos!BE23),(Tasas!C23-Datos!BE23)/Datos!BE23," - ")</f>
        <v>-1.9095020911791976E-2</v>
      </c>
      <c r="J23" s="400">
        <f>IF(ISNUMBER((Tasas!D23-Datos!BF23)/Datos!BF23),(Tasas!D23-Datos!BF23)/Datos!BF23," - ")</f>
        <v>-0.34366275722474288</v>
      </c>
      <c r="K23" s="403">
        <f>IF(ISNUMBER((Tasas!E23-Datos!BG23)/Datos!BG23),(Tasas!E23-Datos!BG23)/Datos!BG23," - ")</f>
        <v>-0.20558804837805086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0.38648018648018651</v>
      </c>
      <c r="E31" s="409">
        <f>IF(ISNUMBER(
   IF(J_V="SI",(Datos!J31-Datos!T31)/Datos!T31,(Datos!J31+Datos!Z31-(Datos!T31+Datos!AH31))/(Datos!T31+Datos!AH31))
     ),IF(J_V="SI",(Datos!J31-Datos!T31)/Datos!T31,(Datos!J31+Datos!Z31-(Datos!T31+Datos!AH31))/(Datos!T31+Datos!AH31))," - ")</f>
        <v>9.4834543987086364E-2</v>
      </c>
      <c r="F31" s="409">
        <f>IF(ISNUMBER(
   IF(J_V="SI",(Datos!K31-Datos!U31)/Datos!U31,(Datos!K31+Datos!AA31-(Datos!U31+Datos!AI31))/(Datos!U31+Datos!AI31))
     ),IF(J_V="SI",(Datos!K31-Datos!U31)/Datos!U31,(Datos!K31+Datos!AA31-(Datos!U31+Datos!AI31))/(Datos!U31+Datos!AI31))," - ")</f>
        <v>0.24496373892022563</v>
      </c>
      <c r="G31" s="410">
        <f>IF(ISNUMBER(
   IF(J_V="SI",(Datos!L31-Datos!V31)/Datos!V31,(Datos!L31+Datos!AB31-(Datos!V31+Datos!AJ31))/(Datos!V31+Datos!AJ31))
     ),IF(J_V="SI",(Datos!L31-Datos!V31)/Datos!V31,(Datos!L31+Datos!AB31-(Datos!V31+Datos!AJ31))/(Datos!V31+Datos!AJ31))," - ")</f>
        <v>0.26597175521183591</v>
      </c>
      <c r="H31" s="411">
        <f>IF(ISNUMBER((Datos!M31-Datos!W31)/Datos!W31),(Datos!M31-Datos!W31)/Datos!W31," - ")</f>
        <v>-5.2689352360043906E-2</v>
      </c>
      <c r="I31" s="408">
        <f>IF(ISNUMBER((Tasas!C31-Datos!BE31)/Datos!BE31),(Tasas!C31-Datos!BE31)/Datos!BE31," - ")</f>
        <v>1.687440014102802E-2</v>
      </c>
      <c r="J31" s="409">
        <f>IF(ISNUMBER((Tasas!D31-Datos!BF31)/Datos!BF31),(Tasas!D31-Datos!BF31)/Datos!BF31," - ")</f>
        <v>-0.4024199308112934</v>
      </c>
      <c r="K31" s="410">
        <f>IF(ISNUMBER((Tasas!E31-Datos!BG31)/Datos!BG31),(Tasas!E31-Datos!BG31)/Datos!BG31," - ")</f>
        <v>-4.982615603162692E-2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0.37746917715528239</v>
      </c>
      <c r="E33" s="303">
        <f t="shared" si="1"/>
        <v>1.000501684558425E-2</v>
      </c>
      <c r="F33" s="303">
        <f t="shared" si="1"/>
        <v>0.28659340570395569</v>
      </c>
      <c r="G33" s="304">
        <f t="shared" si="1"/>
        <v>0.46094710104056025</v>
      </c>
      <c r="H33" s="310">
        <f t="shared" si="1"/>
        <v>0.22120248662658781</v>
      </c>
      <c r="I33" s="302">
        <f t="shared" si="1"/>
        <v>0.42839533698650228</v>
      </c>
      <c r="J33" s="303">
        <f t="shared" si="1"/>
        <v>0.133052515949241</v>
      </c>
      <c r="K33" s="304">
        <f t="shared" si="1"/>
        <v>0.21416784130439098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621j22Zmg3UeFhiZLHAD6inPV4N3eYHjIJy2iD9Qiho+Jg56a0i6Yk/eT7etWzUwgf5PLC+1Kz7aozfAhI38g==" saltValue="4Ob3luUvNq8dMY1KOfiOM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